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511"/>
  <workbookPr/>
  <mc:AlternateContent xmlns:mc="http://schemas.openxmlformats.org/markup-compatibility/2006">
    <mc:Choice Requires="x15">
      <x15ac:absPath xmlns:x15ac="http://schemas.microsoft.com/office/spreadsheetml/2010/11/ac" url="\\192.168.1.60\g\35 _ Проект Клеона\000 БЛАНК ЗАКАЗА\"/>
    </mc:Choice>
  </mc:AlternateContent>
  <xr:revisionPtr revIDLastSave="316" documentId="13_ncr:1_{0E6A8E52-0BF7-4267-B972-AE567B3CAAD3}" xr6:coauthVersionLast="47" xr6:coauthVersionMax="47" xr10:uidLastSave="{8662E247-4154-4189-86DC-FC231900BF72}"/>
  <bookViews>
    <workbookView xWindow="-120" yWindow="-120" windowWidth="21840" windowHeight="13140" tabRatio="500" xr2:uid="{00000000-000D-0000-FFFF-FFFF00000000}"/>
  </bookViews>
  <sheets>
    <sheet name="ОСНОВНОЙ бланк" sheetId="1" r:id="rId1"/>
    <sheet name="ПИАР материалы" sheetId="4" r:id="rId2"/>
    <sheet name="Подарочные наборы" sheetId="2" r:id="rId3"/>
    <sheet name="Короба параметры" sheetId="3" r:id="rId4"/>
    <sheet name="Лист1" sheetId="5" r:id="rId5"/>
  </sheets>
  <definedNames>
    <definedName name="_xlnm._FilterDatabase" localSheetId="0" hidden="1">'ОСНОВНОЙ бланк'!$D$16:$F$605</definedName>
    <definedName name="_xlnm._FilterDatabase" localSheetId="2" hidden="1">'Подарочные наборы'!$V$13:$V$65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99" i="1" l="1"/>
  <c r="M99" i="1" s="1"/>
  <c r="N99" i="1"/>
  <c r="O99" i="1" s="1"/>
  <c r="P99" i="1"/>
  <c r="Q99" i="1" s="1"/>
  <c r="R99" i="1"/>
  <c r="S99" i="1" s="1"/>
  <c r="K99" i="1"/>
  <c r="S66" i="1"/>
  <c r="S65" i="1"/>
  <c r="S64" i="1"/>
  <c r="S63" i="1"/>
  <c r="Q66" i="1"/>
  <c r="Q65" i="1"/>
  <c r="Q64" i="1"/>
  <c r="Q63" i="1"/>
  <c r="O66" i="1"/>
  <c r="O65" i="1"/>
  <c r="O64" i="1"/>
  <c r="O63" i="1"/>
  <c r="M66" i="1"/>
  <c r="M65" i="1"/>
  <c r="M64" i="1"/>
  <c r="M63" i="1"/>
  <c r="K66" i="1"/>
  <c r="K65" i="1"/>
  <c r="K64" i="1"/>
  <c r="K63" i="1"/>
  <c r="U62" i="1"/>
  <c r="F62" i="1"/>
  <c r="F57" i="1"/>
  <c r="U122" i="1"/>
  <c r="U121" i="1"/>
  <c r="S121" i="1"/>
  <c r="Q121" i="1"/>
  <c r="O121" i="1"/>
  <c r="M121" i="1"/>
  <c r="K121" i="1"/>
  <c r="K508" i="1"/>
  <c r="L508" i="1"/>
  <c r="M508" i="1" s="1"/>
  <c r="N508" i="1"/>
  <c r="O508" i="1" s="1"/>
  <c r="P508" i="1"/>
  <c r="Q508" i="1" s="1"/>
  <c r="R508" i="1"/>
  <c r="S508" i="1" s="1"/>
  <c r="R474" i="1"/>
  <c r="S474" i="1" s="1"/>
  <c r="P474" i="1"/>
  <c r="Q474" i="1" s="1"/>
  <c r="N474" i="1"/>
  <c r="O474" i="1" s="1"/>
  <c r="L474" i="1"/>
  <c r="M474" i="1" s="1"/>
  <c r="K474" i="1"/>
  <c r="R478" i="1"/>
  <c r="S478" i="1" s="1"/>
  <c r="P478" i="1"/>
  <c r="Q478" i="1" s="1"/>
  <c r="N478" i="1"/>
  <c r="O478" i="1" s="1"/>
  <c r="L478" i="1"/>
  <c r="M478" i="1" s="1"/>
  <c r="K478" i="1"/>
  <c r="U564" i="1"/>
  <c r="R564" i="1"/>
  <c r="S564" i="1" s="1"/>
  <c r="P564" i="1"/>
  <c r="Q564" i="1" s="1"/>
  <c r="N564" i="1"/>
  <c r="O564" i="1" s="1"/>
  <c r="L564" i="1"/>
  <c r="M564" i="1" s="1"/>
  <c r="K564" i="1"/>
  <c r="S62" i="1" l="1"/>
  <c r="Q62" i="1"/>
  <c r="O62" i="1"/>
  <c r="M62" i="1"/>
  <c r="K62" i="1"/>
  <c r="U294" i="1"/>
  <c r="S294" i="1"/>
  <c r="Q294" i="1"/>
  <c r="O294" i="1"/>
  <c r="M294" i="1"/>
  <c r="K294" i="1"/>
  <c r="U296" i="1"/>
  <c r="S296" i="1"/>
  <c r="Q296" i="1"/>
  <c r="O296" i="1"/>
  <c r="M296" i="1"/>
  <c r="K296" i="1"/>
  <c r="U290" i="1"/>
  <c r="S290" i="1"/>
  <c r="Q290" i="1"/>
  <c r="O290" i="1"/>
  <c r="M290" i="1"/>
  <c r="K290" i="1"/>
  <c r="R285" i="1"/>
  <c r="S285" i="1" s="1"/>
  <c r="P285" i="1"/>
  <c r="Q285" i="1" s="1"/>
  <c r="N285" i="1"/>
  <c r="O285" i="1" s="1"/>
  <c r="L285" i="1"/>
  <c r="M285" i="1" s="1"/>
  <c r="K285" i="1"/>
  <c r="U284" i="1"/>
  <c r="S284" i="1"/>
  <c r="Q284" i="1"/>
  <c r="O284" i="1"/>
  <c r="M284" i="1"/>
  <c r="K284" i="1"/>
  <c r="U295" i="1"/>
  <c r="S295" i="1"/>
  <c r="Q295" i="1"/>
  <c r="O295" i="1"/>
  <c r="M295" i="1"/>
  <c r="K295" i="1"/>
  <c r="U293" i="1"/>
  <c r="S293" i="1"/>
  <c r="Q293" i="1"/>
  <c r="O293" i="1"/>
  <c r="M293" i="1"/>
  <c r="K293" i="1"/>
  <c r="U289" i="1"/>
  <c r="S289" i="1"/>
  <c r="Q289" i="1"/>
  <c r="O289" i="1"/>
  <c r="M289" i="1"/>
  <c r="K289" i="1"/>
  <c r="U288" i="1"/>
  <c r="S288" i="1"/>
  <c r="Q288" i="1"/>
  <c r="O288" i="1"/>
  <c r="M288" i="1"/>
  <c r="K288" i="1"/>
  <c r="U292" i="1"/>
  <c r="R292" i="1"/>
  <c r="S292" i="1" s="1"/>
  <c r="P292" i="1"/>
  <c r="Q292" i="1" s="1"/>
  <c r="N292" i="1"/>
  <c r="O292" i="1" s="1"/>
  <c r="L292" i="1"/>
  <c r="M292" i="1" s="1"/>
  <c r="K292" i="1"/>
  <c r="F18" i="1"/>
  <c r="S28" i="1"/>
  <c r="Q28" i="1"/>
  <c r="O28" i="1"/>
  <c r="M28" i="1"/>
  <c r="K28" i="1"/>
  <c r="AP226" i="1"/>
  <c r="U98" i="1"/>
  <c r="U92" i="1"/>
  <c r="U69" i="1"/>
  <c r="U68" i="1"/>
  <c r="Q291" i="1" l="1"/>
  <c r="S291" i="1"/>
  <c r="U291" i="1"/>
  <c r="K291" i="1"/>
  <c r="M291" i="1"/>
  <c r="O291" i="1"/>
  <c r="S286" i="1"/>
  <c r="U286" i="1"/>
  <c r="O286" i="1"/>
  <c r="M286" i="1"/>
  <c r="K286" i="1"/>
  <c r="Q286" i="1"/>
  <c r="S51" i="1"/>
  <c r="S50" i="1"/>
  <c r="S49" i="1"/>
  <c r="S48" i="1"/>
  <c r="Q51" i="1"/>
  <c r="Q50" i="1"/>
  <c r="Q49" i="1"/>
  <c r="Q48" i="1"/>
  <c r="O51" i="1"/>
  <c r="O50" i="1"/>
  <c r="O49" i="1"/>
  <c r="O48" i="1"/>
  <c r="M51" i="1"/>
  <c r="M50" i="1"/>
  <c r="M49" i="1"/>
  <c r="M48" i="1"/>
  <c r="K51" i="1"/>
  <c r="K50" i="1"/>
  <c r="K49" i="1"/>
  <c r="K48" i="1"/>
  <c r="S47" i="1"/>
  <c r="S46" i="1"/>
  <c r="S45" i="1"/>
  <c r="S44" i="1"/>
  <c r="S43" i="1"/>
  <c r="S42" i="1"/>
  <c r="S41" i="1"/>
  <c r="S40" i="1"/>
  <c r="S39" i="1"/>
  <c r="S38" i="1"/>
  <c r="S37" i="1"/>
  <c r="S36" i="1"/>
  <c r="S35" i="1"/>
  <c r="Q47" i="1"/>
  <c r="Q46" i="1"/>
  <c r="Q45" i="1"/>
  <c r="Q44" i="1"/>
  <c r="Q43" i="1"/>
  <c r="Q42" i="1"/>
  <c r="Q41" i="1"/>
  <c r="Q40" i="1"/>
  <c r="Q39" i="1"/>
  <c r="Q38" i="1"/>
  <c r="Q37" i="1"/>
  <c r="Q36" i="1"/>
  <c r="Q35" i="1"/>
  <c r="O47" i="1"/>
  <c r="O46" i="1"/>
  <c r="O45" i="1"/>
  <c r="O44" i="1"/>
  <c r="O43" i="1"/>
  <c r="O42" i="1"/>
  <c r="O41" i="1"/>
  <c r="O40" i="1"/>
  <c r="O39" i="1"/>
  <c r="O38" i="1"/>
  <c r="O37" i="1"/>
  <c r="O36" i="1"/>
  <c r="O35" i="1"/>
  <c r="M38" i="1"/>
  <c r="M47" i="1"/>
  <c r="M46" i="1"/>
  <c r="M45" i="1"/>
  <c r="M44" i="1"/>
  <c r="M43" i="1"/>
  <c r="M42" i="1"/>
  <c r="M41" i="1"/>
  <c r="M40" i="1"/>
  <c r="M39" i="1"/>
  <c r="M37" i="1"/>
  <c r="M36" i="1"/>
  <c r="M35" i="1"/>
  <c r="K47" i="1"/>
  <c r="K46" i="1"/>
  <c r="K45" i="1"/>
  <c r="K44" i="1"/>
  <c r="K43" i="1"/>
  <c r="K42" i="1"/>
  <c r="K41" i="1"/>
  <c r="K40" i="1"/>
  <c r="K39" i="1"/>
  <c r="K38" i="1"/>
  <c r="K37" i="1"/>
  <c r="K36" i="1"/>
  <c r="K35" i="1"/>
  <c r="S34" i="1"/>
  <c r="S33" i="1"/>
  <c r="S32" i="1"/>
  <c r="S31" i="1"/>
  <c r="S30" i="1"/>
  <c r="S29" i="1"/>
  <c r="S27" i="1"/>
  <c r="S26" i="1"/>
  <c r="S25" i="1"/>
  <c r="S24" i="1"/>
  <c r="S23" i="1"/>
  <c r="S22" i="1"/>
  <c r="S21" i="1"/>
  <c r="S20" i="1"/>
  <c r="Q34" i="1"/>
  <c r="Q33" i="1"/>
  <c r="Q32" i="1"/>
  <c r="Q31" i="1"/>
  <c r="Q30" i="1"/>
  <c r="Q29" i="1"/>
  <c r="Q27" i="1"/>
  <c r="Q26" i="1"/>
  <c r="Q25" i="1"/>
  <c r="Q24" i="1"/>
  <c r="Q23" i="1"/>
  <c r="Q22" i="1"/>
  <c r="Q21" i="1"/>
  <c r="Q20" i="1"/>
  <c r="O34" i="1"/>
  <c r="O33" i="1"/>
  <c r="O32" i="1"/>
  <c r="O31" i="1"/>
  <c r="O30" i="1"/>
  <c r="O29" i="1"/>
  <c r="O27" i="1"/>
  <c r="O26" i="1"/>
  <c r="O25" i="1"/>
  <c r="O24" i="1"/>
  <c r="O23" i="1"/>
  <c r="O22" i="1"/>
  <c r="M34" i="1"/>
  <c r="M33" i="1"/>
  <c r="M32" i="1"/>
  <c r="M31" i="1"/>
  <c r="M30" i="1"/>
  <c r="M29" i="1"/>
  <c r="M27" i="1"/>
  <c r="M26" i="1"/>
  <c r="M25" i="1"/>
  <c r="M24" i="1"/>
  <c r="M23" i="1"/>
  <c r="M22" i="1"/>
  <c r="M21" i="1"/>
  <c r="O21" i="1"/>
  <c r="O20" i="1"/>
  <c r="S19" i="1"/>
  <c r="Q19" i="1"/>
  <c r="O19" i="1"/>
  <c r="M20" i="1"/>
  <c r="M19" i="1"/>
  <c r="L98" i="1"/>
  <c r="M98" i="1" s="1"/>
  <c r="N98" i="1"/>
  <c r="O98" i="1" s="1"/>
  <c r="P98" i="1"/>
  <c r="Q98" i="1" s="1"/>
  <c r="R98" i="1"/>
  <c r="S98" i="1" s="1"/>
  <c r="L92" i="1"/>
  <c r="M92" i="1" s="1"/>
  <c r="N92" i="1"/>
  <c r="O92" i="1" s="1"/>
  <c r="P92" i="1"/>
  <c r="Q92" i="1" s="1"/>
  <c r="R92" i="1"/>
  <c r="S92" i="1" s="1"/>
  <c r="K98" i="1"/>
  <c r="K92" i="1"/>
  <c r="K27" i="1"/>
  <c r="K26" i="1"/>
  <c r="K25" i="1"/>
  <c r="K24" i="1"/>
  <c r="K34" i="1"/>
  <c r="K33" i="1"/>
  <c r="K32" i="1"/>
  <c r="K31" i="1"/>
  <c r="K30" i="1"/>
  <c r="K29" i="1"/>
  <c r="K23" i="1"/>
  <c r="K22" i="1"/>
  <c r="K21" i="1"/>
  <c r="K20" i="1"/>
  <c r="K19" i="1"/>
  <c r="K69" i="1"/>
  <c r="K68" i="1"/>
  <c r="U67" i="1"/>
  <c r="S67" i="1"/>
  <c r="Q67" i="1"/>
  <c r="O67" i="1"/>
  <c r="M67" i="1"/>
  <c r="U226" i="1"/>
  <c r="K226" i="1"/>
  <c r="L226" i="1"/>
  <c r="M226" i="1" s="1"/>
  <c r="N226" i="1"/>
  <c r="O226" i="1" s="1"/>
  <c r="P226" i="1"/>
  <c r="Q226" i="1" s="1"/>
  <c r="R226" i="1"/>
  <c r="S226" i="1" s="1"/>
  <c r="S361" i="1"/>
  <c r="Q361" i="1"/>
  <c r="O361" i="1"/>
  <c r="M361" i="1"/>
  <c r="K361" i="1"/>
  <c r="U361" i="1"/>
  <c r="L518" i="1"/>
  <c r="M518" i="1" s="1"/>
  <c r="N518" i="1"/>
  <c r="O518" i="1" s="1"/>
  <c r="P518" i="1"/>
  <c r="Q518" i="1" s="1"/>
  <c r="R518" i="1"/>
  <c r="S518" i="1" s="1"/>
  <c r="L517" i="1"/>
  <c r="M517" i="1" s="1"/>
  <c r="N517" i="1"/>
  <c r="O517" i="1" s="1"/>
  <c r="P517" i="1"/>
  <c r="Q517" i="1" s="1"/>
  <c r="R517" i="1"/>
  <c r="S517" i="1" s="1"/>
  <c r="K497" i="1"/>
  <c r="U518" i="1"/>
  <c r="U517" i="1"/>
  <c r="K518" i="1"/>
  <c r="K517" i="1"/>
  <c r="U184" i="1"/>
  <c r="U181" i="1"/>
  <c r="O18" i="1" l="1"/>
  <c r="K18" i="1"/>
  <c r="Q18" i="1"/>
  <c r="M18" i="1"/>
  <c r="S18" i="1"/>
  <c r="K67" i="1"/>
  <c r="K130" i="1"/>
  <c r="L130" i="1"/>
  <c r="M130" i="1" s="1"/>
  <c r="N130" i="1"/>
  <c r="O130" i="1" s="1"/>
  <c r="P130" i="1"/>
  <c r="Q130" i="1" s="1"/>
  <c r="R130" i="1"/>
  <c r="S130" i="1" s="1"/>
  <c r="U130" i="1"/>
  <c r="AX130" i="1"/>
  <c r="AY130" i="1" s="1"/>
  <c r="U434" i="1"/>
  <c r="S434" i="1"/>
  <c r="Q434" i="1"/>
  <c r="O434" i="1"/>
  <c r="M434" i="1"/>
  <c r="K434" i="1"/>
  <c r="L184" i="1"/>
  <c r="M184" i="1" s="1"/>
  <c r="N184" i="1"/>
  <c r="O184" i="1" s="1"/>
  <c r="P184" i="1"/>
  <c r="Q184" i="1" s="1"/>
  <c r="R184" i="1"/>
  <c r="S184" i="1" s="1"/>
  <c r="U366" i="1"/>
  <c r="U364" i="1"/>
  <c r="K184" i="1"/>
  <c r="U196" i="1" l="1"/>
  <c r="R196" i="1"/>
  <c r="S196" i="1" s="1"/>
  <c r="P196" i="1"/>
  <c r="Q196" i="1" s="1"/>
  <c r="N196" i="1"/>
  <c r="O196" i="1" s="1"/>
  <c r="L196" i="1"/>
  <c r="M196" i="1" s="1"/>
  <c r="K196" i="1"/>
  <c r="U195" i="1"/>
  <c r="R195" i="1"/>
  <c r="S195" i="1" s="1"/>
  <c r="P195" i="1"/>
  <c r="Q195" i="1" s="1"/>
  <c r="N195" i="1"/>
  <c r="O195" i="1" s="1"/>
  <c r="L195" i="1"/>
  <c r="M195" i="1" s="1"/>
  <c r="K195" i="1"/>
  <c r="K366" i="1"/>
  <c r="L366" i="1"/>
  <c r="M366" i="1" s="1"/>
  <c r="N366" i="1"/>
  <c r="O366" i="1" s="1"/>
  <c r="P366" i="1"/>
  <c r="Q366" i="1" s="1"/>
  <c r="R366" i="1"/>
  <c r="S366" i="1" s="1"/>
  <c r="K364" i="1"/>
  <c r="L364" i="1"/>
  <c r="M364" i="1" s="1"/>
  <c r="N364" i="1"/>
  <c r="O364" i="1" s="1"/>
  <c r="P364" i="1"/>
  <c r="Q364" i="1" s="1"/>
  <c r="R364" i="1"/>
  <c r="S364" i="1" s="1"/>
  <c r="K181" i="1" l="1"/>
  <c r="L181" i="1"/>
  <c r="M181" i="1" s="1"/>
  <c r="N181" i="1"/>
  <c r="O181" i="1" s="1"/>
  <c r="P181" i="1"/>
  <c r="Q181" i="1" s="1"/>
  <c r="R181" i="1"/>
  <c r="S181" i="1" s="1"/>
  <c r="O572" i="1" l="1"/>
  <c r="K572" i="1"/>
  <c r="L572" i="1"/>
  <c r="M572" i="1" s="1"/>
  <c r="P572" i="1"/>
  <c r="Q572" i="1" s="1"/>
  <c r="R572" i="1"/>
  <c r="S572" i="1" s="1"/>
  <c r="S282" i="1"/>
  <c r="Q282" i="1"/>
  <c r="O282" i="1"/>
  <c r="M282" i="1"/>
  <c r="K282" i="1"/>
  <c r="U282" i="1"/>
  <c r="U438" i="1" l="1"/>
  <c r="R438" i="1"/>
  <c r="S438" i="1" s="1"/>
  <c r="P438" i="1"/>
  <c r="Q438" i="1" s="1"/>
  <c r="N438" i="1"/>
  <c r="O438" i="1" s="1"/>
  <c r="L438" i="1"/>
  <c r="M438" i="1" s="1"/>
  <c r="K438" i="1"/>
  <c r="U437" i="1"/>
  <c r="R437" i="1"/>
  <c r="S437" i="1" s="1"/>
  <c r="P437" i="1"/>
  <c r="Q437" i="1" s="1"/>
  <c r="N437" i="1"/>
  <c r="O437" i="1" s="1"/>
  <c r="L437" i="1"/>
  <c r="M437" i="1" s="1"/>
  <c r="K437" i="1"/>
  <c r="U436" i="1"/>
  <c r="U435" i="1" s="1"/>
  <c r="R436" i="1"/>
  <c r="S436" i="1" s="1"/>
  <c r="S435" i="1" s="1"/>
  <c r="P436" i="1"/>
  <c r="Q436" i="1" s="1"/>
  <c r="Q435" i="1" s="1"/>
  <c r="N436" i="1"/>
  <c r="O436" i="1" s="1"/>
  <c r="O435" i="1" s="1"/>
  <c r="L436" i="1"/>
  <c r="M436" i="1" s="1"/>
  <c r="M435" i="1" s="1"/>
  <c r="K436" i="1"/>
  <c r="K435" i="1" s="1"/>
  <c r="U433" i="1"/>
  <c r="R433" i="1"/>
  <c r="S433" i="1" s="1"/>
  <c r="P433" i="1"/>
  <c r="Q433" i="1" s="1"/>
  <c r="N433" i="1"/>
  <c r="O433" i="1" s="1"/>
  <c r="L433" i="1"/>
  <c r="M433" i="1" s="1"/>
  <c r="K433" i="1"/>
  <c r="U432" i="1"/>
  <c r="R432" i="1"/>
  <c r="S432" i="1" s="1"/>
  <c r="P432" i="1"/>
  <c r="Q432" i="1" s="1"/>
  <c r="N432" i="1"/>
  <c r="O432" i="1" s="1"/>
  <c r="L432" i="1"/>
  <c r="M432" i="1" s="1"/>
  <c r="K432" i="1"/>
  <c r="U431" i="1"/>
  <c r="R431" i="1"/>
  <c r="S431" i="1" s="1"/>
  <c r="P431" i="1"/>
  <c r="Q431" i="1" s="1"/>
  <c r="N431" i="1"/>
  <c r="O431" i="1" s="1"/>
  <c r="L431" i="1"/>
  <c r="M431" i="1" s="1"/>
  <c r="K431" i="1"/>
  <c r="U430" i="1"/>
  <c r="R430" i="1"/>
  <c r="S430" i="1" s="1"/>
  <c r="P430" i="1"/>
  <c r="Q430" i="1" s="1"/>
  <c r="N430" i="1"/>
  <c r="O430" i="1" s="1"/>
  <c r="L430" i="1"/>
  <c r="M430" i="1" s="1"/>
  <c r="K430" i="1"/>
  <c r="S429" i="1" l="1"/>
  <c r="U429" i="1"/>
  <c r="K429" i="1"/>
  <c r="M429" i="1"/>
  <c r="O429" i="1"/>
  <c r="Q429" i="1"/>
  <c r="U560" i="1"/>
  <c r="K560" i="1"/>
  <c r="L560" i="1"/>
  <c r="M560" i="1" s="1"/>
  <c r="N560" i="1"/>
  <c r="O560" i="1" s="1"/>
  <c r="P560" i="1"/>
  <c r="Q560" i="1" s="1"/>
  <c r="R560" i="1"/>
  <c r="S560" i="1" s="1"/>
  <c r="K390" i="1" l="1"/>
  <c r="L390" i="1"/>
  <c r="M390" i="1" s="1"/>
  <c r="N390" i="1"/>
  <c r="O390" i="1" s="1"/>
  <c r="P390" i="1"/>
  <c r="Q390" i="1" s="1"/>
  <c r="R390" i="1"/>
  <c r="S390" i="1" s="1"/>
  <c r="K388" i="1"/>
  <c r="L388" i="1"/>
  <c r="M388" i="1" s="1"/>
  <c r="N388" i="1"/>
  <c r="O388" i="1" s="1"/>
  <c r="P388" i="1"/>
  <c r="Q388" i="1" s="1"/>
  <c r="R388" i="1"/>
  <c r="S388" i="1" s="1"/>
  <c r="U391" i="1"/>
  <c r="U389" i="1"/>
  <c r="K391" i="1"/>
  <c r="L391" i="1"/>
  <c r="M391" i="1" s="1"/>
  <c r="N391" i="1"/>
  <c r="O391" i="1" s="1"/>
  <c r="P391" i="1"/>
  <c r="Q391" i="1" s="1"/>
  <c r="R391" i="1"/>
  <c r="S391" i="1" s="1"/>
  <c r="K389" i="1"/>
  <c r="L389" i="1"/>
  <c r="M389" i="1" s="1"/>
  <c r="N389" i="1"/>
  <c r="O389" i="1" s="1"/>
  <c r="P389" i="1"/>
  <c r="Q389" i="1" s="1"/>
  <c r="R389" i="1"/>
  <c r="S389" i="1" s="1"/>
  <c r="S375" i="1" l="1"/>
  <c r="Q375" i="1"/>
  <c r="O375" i="1"/>
  <c r="M375" i="1"/>
  <c r="K375" i="1"/>
  <c r="U231" i="1" l="1"/>
  <c r="U232" i="1"/>
  <c r="L232" i="1" l="1"/>
  <c r="N232" i="1"/>
  <c r="P232" i="1"/>
  <c r="R232" i="1"/>
  <c r="S232" i="1" l="1"/>
  <c r="Q232" i="1"/>
  <c r="O232" i="1"/>
  <c r="M232" i="1"/>
  <c r="K232" i="1"/>
  <c r="U136" i="1" l="1"/>
  <c r="U101" i="1"/>
  <c r="K469" i="1" l="1"/>
  <c r="L469" i="1"/>
  <c r="M469" i="1" s="1"/>
  <c r="N469" i="1"/>
  <c r="O469" i="1" s="1"/>
  <c r="P469" i="1"/>
  <c r="Q469" i="1" s="1"/>
  <c r="R469" i="1"/>
  <c r="S469" i="1" s="1"/>
  <c r="K468" i="1"/>
  <c r="L468" i="1"/>
  <c r="M468" i="1" s="1"/>
  <c r="N468" i="1"/>
  <c r="O468" i="1" s="1"/>
  <c r="P468" i="1"/>
  <c r="Q468" i="1" s="1"/>
  <c r="R468" i="1"/>
  <c r="S468" i="1" s="1"/>
  <c r="K467" i="1"/>
  <c r="L467" i="1"/>
  <c r="M467" i="1" s="1"/>
  <c r="N467" i="1"/>
  <c r="O467" i="1" s="1"/>
  <c r="P467" i="1"/>
  <c r="Q467" i="1" s="1"/>
  <c r="R467" i="1"/>
  <c r="S467" i="1" s="1"/>
  <c r="K466" i="1"/>
  <c r="L466" i="1"/>
  <c r="M466" i="1" s="1"/>
  <c r="N466" i="1"/>
  <c r="O466" i="1" s="1"/>
  <c r="P466" i="1"/>
  <c r="Q466" i="1" s="1"/>
  <c r="R466" i="1"/>
  <c r="S466" i="1" s="1"/>
  <c r="K465" i="1"/>
  <c r="L465" i="1"/>
  <c r="M465" i="1" s="1"/>
  <c r="N465" i="1"/>
  <c r="O465" i="1" s="1"/>
  <c r="P465" i="1"/>
  <c r="Q465" i="1" s="1"/>
  <c r="R465" i="1"/>
  <c r="S465" i="1" s="1"/>
  <c r="K464" i="1"/>
  <c r="L464" i="1"/>
  <c r="M464" i="1" s="1"/>
  <c r="N464" i="1"/>
  <c r="O464" i="1" s="1"/>
  <c r="P464" i="1"/>
  <c r="Q464" i="1" s="1"/>
  <c r="R464" i="1"/>
  <c r="S464" i="1" s="1"/>
  <c r="K463" i="1"/>
  <c r="L463" i="1"/>
  <c r="M463" i="1" s="1"/>
  <c r="N463" i="1"/>
  <c r="O463" i="1" s="1"/>
  <c r="P463" i="1"/>
  <c r="Q463" i="1" s="1"/>
  <c r="R463" i="1"/>
  <c r="S463" i="1" s="1"/>
  <c r="K462" i="1"/>
  <c r="L462" i="1"/>
  <c r="M462" i="1" s="1"/>
  <c r="N462" i="1"/>
  <c r="O462" i="1" s="1"/>
  <c r="P462" i="1"/>
  <c r="Q462" i="1" s="1"/>
  <c r="R462" i="1"/>
  <c r="S462" i="1" s="1"/>
  <c r="U283" i="1" l="1"/>
  <c r="U281" i="1"/>
  <c r="U78" i="1" l="1"/>
  <c r="U77" i="1"/>
  <c r="U76" i="1"/>
  <c r="U75" i="1"/>
  <c r="Q281" i="1"/>
  <c r="Q283" i="1" l="1"/>
  <c r="Q280" i="1" s="1"/>
  <c r="O283" i="1"/>
  <c r="M283" i="1"/>
  <c r="K283" i="1"/>
  <c r="S283" i="1"/>
  <c r="S281" i="1"/>
  <c r="S280" i="1" l="1"/>
  <c r="S78" i="1"/>
  <c r="S77" i="1"/>
  <c r="S76" i="1"/>
  <c r="S75" i="1"/>
  <c r="Q78" i="1"/>
  <c r="Q77" i="1"/>
  <c r="Q76" i="1"/>
  <c r="Q75" i="1"/>
  <c r="O78" i="1"/>
  <c r="O77" i="1"/>
  <c r="O76" i="1"/>
  <c r="O75" i="1"/>
  <c r="M78" i="1"/>
  <c r="M77" i="1"/>
  <c r="M76" i="1"/>
  <c r="M75" i="1"/>
  <c r="K78" i="1"/>
  <c r="K77" i="1"/>
  <c r="K76" i="1"/>
  <c r="K75" i="1"/>
  <c r="U74" i="1"/>
  <c r="M74" i="1" l="1"/>
  <c r="O74" i="1"/>
  <c r="Q74" i="1"/>
  <c r="S74" i="1"/>
  <c r="K74" i="1"/>
  <c r="O281" i="1"/>
  <c r="O280" i="1" s="1"/>
  <c r="M281" i="1"/>
  <c r="M280" i="1" s="1"/>
  <c r="K281" i="1"/>
  <c r="K280" i="1" s="1"/>
  <c r="U280" i="1"/>
  <c r="AX80" i="1" l="1"/>
  <c r="AY80" i="1" s="1"/>
  <c r="AX81" i="1"/>
  <c r="AY81" i="1" s="1"/>
  <c r="AX82" i="1"/>
  <c r="AY82" i="1" s="1"/>
  <c r="AW84" i="1"/>
  <c r="BC84" i="1" s="1"/>
  <c r="AX84" i="1"/>
  <c r="AY84" i="1" s="1"/>
  <c r="AX85" i="1"/>
  <c r="AY85" i="1" s="1"/>
  <c r="AX86" i="1"/>
  <c r="AY86" i="1" s="1"/>
  <c r="AX87" i="1"/>
  <c r="AY87" i="1" s="1"/>
  <c r="AX88" i="1"/>
  <c r="AY88" i="1" s="1"/>
  <c r="AW89" i="1"/>
  <c r="BC89" i="1" s="1"/>
  <c r="AX89" i="1"/>
  <c r="AY89" i="1" s="1"/>
  <c r="AW90" i="1"/>
  <c r="BC90" i="1" s="1"/>
  <c r="AX90" i="1"/>
  <c r="AY90" i="1" s="1"/>
  <c r="AW91" i="1"/>
  <c r="BC91" i="1" s="1"/>
  <c r="AX91" i="1"/>
  <c r="AY91" i="1" s="1"/>
  <c r="AY93" i="1"/>
  <c r="AX94" i="1"/>
  <c r="AY94" i="1" s="1"/>
  <c r="AY95" i="1"/>
  <c r="AX96" i="1"/>
  <c r="AY96" i="1" s="1"/>
  <c r="AW97" i="1"/>
  <c r="BC97" i="1" s="1"/>
  <c r="AX97" i="1"/>
  <c r="AY97" i="1" s="1"/>
  <c r="AY100" i="1"/>
  <c r="AY101" i="1"/>
  <c r="AY103" i="1"/>
  <c r="AY104" i="1"/>
  <c r="AX105" i="1"/>
  <c r="AY105" i="1" s="1"/>
  <c r="AX106" i="1"/>
  <c r="AY106" i="1" s="1"/>
  <c r="AY107" i="1"/>
  <c r="AW108" i="1"/>
  <c r="BC108" i="1" s="1"/>
  <c r="AX108" i="1"/>
  <c r="AY108" i="1" s="1"/>
  <c r="AY109" i="1"/>
  <c r="AX110" i="1"/>
  <c r="AY110" i="1" s="1"/>
  <c r="AY111" i="1"/>
  <c r="AX112" i="1"/>
  <c r="AY112" i="1" s="1"/>
  <c r="AX113" i="1"/>
  <c r="AY113" i="1" s="1"/>
  <c r="AX114" i="1"/>
  <c r="AY114" i="1" s="1"/>
  <c r="AX115" i="1"/>
  <c r="AY115" i="1" s="1"/>
  <c r="AX116" i="1"/>
  <c r="AY116" i="1" s="1"/>
  <c r="AW117" i="1"/>
  <c r="BC117" i="1" s="1"/>
  <c r="AX117" i="1"/>
  <c r="AY117" i="1" s="1"/>
  <c r="AX118" i="1"/>
  <c r="AY118" i="1" s="1"/>
  <c r="AX119" i="1"/>
  <c r="AY119" i="1" s="1"/>
  <c r="AY122" i="1"/>
  <c r="AY123" i="1"/>
  <c r="AX124" i="1"/>
  <c r="AY124" i="1" s="1"/>
  <c r="AY125" i="1"/>
  <c r="AX126" i="1"/>
  <c r="AY126" i="1" s="1"/>
  <c r="AY127" i="1"/>
  <c r="AX128" i="1"/>
  <c r="AY128" i="1" s="1"/>
  <c r="AW129" i="1"/>
  <c r="BC129" i="1" s="1"/>
  <c r="AX129" i="1"/>
  <c r="AY129" i="1" s="1"/>
  <c r="AX131" i="1"/>
  <c r="AY131" i="1" s="1"/>
  <c r="AX132" i="1"/>
  <c r="AY132" i="1" s="1"/>
  <c r="AX133" i="1"/>
  <c r="AY133" i="1" s="1"/>
  <c r="AX134" i="1"/>
  <c r="AY134" i="1" s="1"/>
  <c r="AY136" i="1"/>
  <c r="AW137" i="1"/>
  <c r="BC137" i="1" s="1"/>
  <c r="AX137" i="1"/>
  <c r="AY137" i="1" s="1"/>
  <c r="AW138" i="1"/>
  <c r="BC138" i="1" s="1"/>
  <c r="AX138" i="1"/>
  <c r="AY138" i="1" s="1"/>
  <c r="BQ138" i="1"/>
  <c r="BU138" i="1" s="1"/>
  <c r="AY139" i="1"/>
  <c r="AX140" i="1"/>
  <c r="AY140" i="1" s="1"/>
  <c r="AY141" i="1"/>
  <c r="AX142" i="1"/>
  <c r="AY142" i="1" s="1"/>
  <c r="AY143" i="1"/>
  <c r="AX144" i="1"/>
  <c r="AY144" i="1" s="1"/>
  <c r="AY145" i="1"/>
  <c r="AX146" i="1"/>
  <c r="AY146" i="1" s="1"/>
  <c r="AX147" i="1"/>
  <c r="AY147" i="1" s="1"/>
  <c r="AX148" i="1"/>
  <c r="AY148" i="1" s="1"/>
  <c r="AY150" i="1"/>
  <c r="AX151" i="1"/>
  <c r="AY151" i="1" s="1"/>
  <c r="AY152" i="1"/>
  <c r="AX153" i="1"/>
  <c r="AY153" i="1" s="1"/>
  <c r="AX154" i="1"/>
  <c r="AY154" i="1" s="1"/>
  <c r="AX155" i="1"/>
  <c r="AY155" i="1" s="1"/>
  <c r="AX156" i="1"/>
  <c r="AY156" i="1" s="1"/>
  <c r="AW157" i="1"/>
  <c r="BC157" i="1" s="1"/>
  <c r="AX157" i="1"/>
  <c r="AY157" i="1" s="1"/>
  <c r="AX158" i="1"/>
  <c r="AY158" i="1" s="1"/>
  <c r="AY159" i="1"/>
  <c r="AX160" i="1"/>
  <c r="AY160" i="1" s="1"/>
  <c r="AX161" i="1"/>
  <c r="AY161" i="1" s="1"/>
  <c r="AX162" i="1"/>
  <c r="AY162" i="1" s="1"/>
  <c r="AY163" i="1"/>
  <c r="AY164" i="1"/>
  <c r="AY165" i="1"/>
  <c r="AX167" i="1"/>
  <c r="AY167" i="1" s="1"/>
  <c r="AX168" i="1"/>
  <c r="AY168" i="1" s="1"/>
  <c r="AX169" i="1"/>
  <c r="AY169" i="1" s="1"/>
  <c r="AX170" i="1"/>
  <c r="AY170" i="1" s="1"/>
  <c r="AX171" i="1"/>
  <c r="AY171" i="1" s="1"/>
  <c r="AX172" i="1"/>
  <c r="AY172" i="1" s="1"/>
  <c r="AX173" i="1"/>
  <c r="AY173" i="1" s="1"/>
  <c r="AX174" i="1"/>
  <c r="AY174" i="1" s="1"/>
  <c r="AX175" i="1"/>
  <c r="AY175" i="1" s="1"/>
  <c r="AX176" i="1"/>
  <c r="AY176" i="1" s="1"/>
  <c r="AX177" i="1"/>
  <c r="AY177" i="1" s="1"/>
  <c r="AX178" i="1"/>
  <c r="AY178" i="1" s="1"/>
  <c r="AY179" i="1"/>
  <c r="AY180" i="1"/>
  <c r="AX182" i="1"/>
  <c r="AY182" i="1" s="1"/>
  <c r="AX183" i="1"/>
  <c r="AY183" i="1" s="1"/>
  <c r="AY185" i="1"/>
  <c r="AX186" i="1"/>
  <c r="AY186" i="1" s="1"/>
  <c r="AY187" i="1"/>
  <c r="AY188" i="1"/>
  <c r="AX190" i="1"/>
  <c r="AY190" i="1" s="1"/>
  <c r="AX191" i="1"/>
  <c r="AY191" i="1" s="1"/>
  <c r="AX192" i="1"/>
  <c r="AY192" i="1" s="1"/>
  <c r="AX193" i="1"/>
  <c r="AY193" i="1" s="1"/>
  <c r="AX194" i="1"/>
  <c r="AY194" i="1" s="1"/>
  <c r="AX198" i="1"/>
  <c r="AY198" i="1" s="1"/>
  <c r="AX199" i="1"/>
  <c r="AY199" i="1" s="1"/>
  <c r="AX200" i="1"/>
  <c r="AY200" i="1" s="1"/>
  <c r="AX201" i="1"/>
  <c r="AY201" i="1" s="1"/>
  <c r="AX202" i="1"/>
  <c r="AY202" i="1" s="1"/>
  <c r="AX203" i="1"/>
  <c r="AY203" i="1" s="1"/>
  <c r="AX204" i="1"/>
  <c r="AY204" i="1" s="1"/>
  <c r="AX205" i="1"/>
  <c r="AY205" i="1" s="1"/>
  <c r="AX206" i="1"/>
  <c r="AY206" i="1" s="1"/>
  <c r="AX207" i="1"/>
  <c r="AY207" i="1" s="1"/>
  <c r="AX208" i="1"/>
  <c r="AY208" i="1" s="1"/>
  <c r="AX210" i="1"/>
  <c r="AY210" i="1" s="1"/>
  <c r="AX211" i="1"/>
  <c r="AY211" i="1" s="1"/>
  <c r="AX212" i="1"/>
  <c r="AY212" i="1" s="1"/>
  <c r="AX213" i="1"/>
  <c r="AY213" i="1" s="1"/>
  <c r="AX214" i="1"/>
  <c r="AY214" i="1" s="1"/>
  <c r="AX215" i="1"/>
  <c r="AY215" i="1" s="1"/>
  <c r="AX216" i="1"/>
  <c r="AY216" i="1" s="1"/>
  <c r="AX217" i="1"/>
  <c r="AY217" i="1" s="1"/>
  <c r="AX222" i="1"/>
  <c r="AY222" i="1" s="1"/>
  <c r="AX223" i="1"/>
  <c r="AY223" i="1" s="1"/>
  <c r="AX224" i="1"/>
  <c r="AY224" i="1" s="1"/>
  <c r="AX225" i="1"/>
  <c r="AY225" i="1" s="1"/>
  <c r="AX227" i="1"/>
  <c r="AY227" i="1" s="1"/>
  <c r="AX228" i="1"/>
  <c r="AY228" i="1" s="1"/>
  <c r="AX229" i="1"/>
  <c r="AY229" i="1" s="1"/>
  <c r="AX230" i="1"/>
  <c r="AY230" i="1" s="1"/>
  <c r="AX234" i="1"/>
  <c r="AY234" i="1" s="1"/>
  <c r="AX235" i="1"/>
  <c r="AY235" i="1" s="1"/>
  <c r="AX236" i="1"/>
  <c r="AY236" i="1" s="1"/>
  <c r="AX237" i="1"/>
  <c r="AY237" i="1" s="1"/>
  <c r="AX238" i="1"/>
  <c r="AY238" i="1" s="1"/>
  <c r="AX239" i="1"/>
  <c r="AY239" i="1" s="1"/>
  <c r="AX241" i="1"/>
  <c r="AY241" i="1" s="1"/>
  <c r="AX242" i="1"/>
  <c r="AY242" i="1" s="1"/>
  <c r="AX243" i="1"/>
  <c r="AY243" i="1" s="1"/>
  <c r="AX245" i="1"/>
  <c r="AY245" i="1" s="1"/>
  <c r="AX249" i="1"/>
  <c r="AY249" i="1" s="1"/>
  <c r="AX250" i="1"/>
  <c r="AY250" i="1" s="1"/>
  <c r="AX251" i="1"/>
  <c r="AY251" i="1" s="1"/>
  <c r="AX255" i="1"/>
  <c r="AY255" i="1" s="1"/>
  <c r="AX256" i="1"/>
  <c r="AY256" i="1" s="1"/>
  <c r="AX258" i="1"/>
  <c r="AY258" i="1" s="1"/>
  <c r="AX259" i="1"/>
  <c r="AY259" i="1" s="1"/>
  <c r="AX260" i="1"/>
  <c r="AY260" i="1" s="1"/>
  <c r="AX261" i="1"/>
  <c r="AY261" i="1" s="1"/>
  <c r="AX263" i="1"/>
  <c r="AY263" i="1" s="1"/>
  <c r="AX264" i="1"/>
  <c r="AY264" i="1" s="1"/>
  <c r="AX265" i="1"/>
  <c r="AY265" i="1" s="1"/>
  <c r="AX268" i="1"/>
  <c r="AY268" i="1" s="1"/>
  <c r="AX270" i="1"/>
  <c r="AX271" i="1"/>
  <c r="AX272" i="1"/>
  <c r="AX273" i="1"/>
  <c r="AX274" i="1"/>
  <c r="AX275" i="1"/>
  <c r="AX277" i="1"/>
  <c r="AY277" i="1" s="1"/>
  <c r="AX278" i="1"/>
  <c r="AY278" i="1" s="1"/>
  <c r="AX279" i="1"/>
  <c r="AY279" i="1" s="1"/>
  <c r="AX287" i="1"/>
  <c r="AY287" i="1" s="1"/>
  <c r="AX298" i="1"/>
  <c r="AY298" i="1" s="1"/>
  <c r="AX301" i="1"/>
  <c r="AY301" i="1" s="1"/>
  <c r="AX302" i="1"/>
  <c r="AX307" i="1"/>
  <c r="AY307" i="1" s="1"/>
  <c r="AX309" i="1"/>
  <c r="AY309" i="1" s="1"/>
  <c r="AX310" i="1"/>
  <c r="AY310" i="1" s="1"/>
  <c r="AX311" i="1"/>
  <c r="AY311" i="1" s="1"/>
  <c r="AX312" i="1"/>
  <c r="AY312" i="1" s="1"/>
  <c r="AX313" i="1"/>
  <c r="AY313" i="1" s="1"/>
  <c r="AX314" i="1"/>
  <c r="AY314" i="1" s="1"/>
  <c r="AX315" i="1"/>
  <c r="AY315" i="1" s="1"/>
  <c r="AX317" i="1"/>
  <c r="AY317" i="1" s="1"/>
  <c r="AX318" i="1"/>
  <c r="AY318" i="1" s="1"/>
  <c r="AX319" i="1"/>
  <c r="AY319" i="1" s="1"/>
  <c r="AX320" i="1"/>
  <c r="AY320" i="1" s="1"/>
  <c r="AX321" i="1"/>
  <c r="AY321" i="1" s="1"/>
  <c r="AX322" i="1"/>
  <c r="AY322" i="1" s="1"/>
  <c r="AX323" i="1"/>
  <c r="AY323" i="1" s="1"/>
  <c r="AX324" i="1"/>
  <c r="AY324" i="1" s="1"/>
  <c r="AX325" i="1"/>
  <c r="AY325" i="1" s="1"/>
  <c r="AX326" i="1"/>
  <c r="AY326" i="1" s="1"/>
  <c r="AX327" i="1"/>
  <c r="AY327" i="1" s="1"/>
  <c r="AX328" i="1"/>
  <c r="AY328" i="1" s="1"/>
  <c r="AX329" i="1"/>
  <c r="AY329" i="1" s="1"/>
  <c r="AX330" i="1"/>
  <c r="AY330" i="1" s="1"/>
  <c r="AX335" i="1"/>
  <c r="AX336" i="1"/>
  <c r="AX359" i="1"/>
  <c r="AX360" i="1"/>
  <c r="AX362" i="1"/>
  <c r="AX363" i="1"/>
  <c r="AX365" i="1"/>
  <c r="AX368" i="1"/>
  <c r="AX369" i="1"/>
  <c r="AX370" i="1"/>
  <c r="AX371" i="1"/>
  <c r="AX372" i="1"/>
  <c r="AX373" i="1"/>
  <c r="AX376" i="1"/>
  <c r="AY376" i="1" s="1"/>
  <c r="AX377" i="1"/>
  <c r="AY377" i="1" s="1"/>
  <c r="AX378" i="1"/>
  <c r="AY378" i="1" s="1"/>
  <c r="AX379" i="1"/>
  <c r="AY379" i="1" s="1"/>
  <c r="AX380" i="1"/>
  <c r="AY380" i="1" s="1"/>
  <c r="AX381" i="1"/>
  <c r="AY381" i="1" s="1"/>
  <c r="AX383" i="1"/>
  <c r="AX384" i="1"/>
  <c r="AX385" i="1"/>
  <c r="AX386" i="1"/>
  <c r="AX387" i="1"/>
  <c r="AX392" i="1"/>
  <c r="AX406" i="1"/>
  <c r="AX407" i="1"/>
  <c r="AX408" i="1"/>
  <c r="AX409" i="1"/>
  <c r="AX411" i="1"/>
  <c r="AX412" i="1"/>
  <c r="AX413" i="1"/>
  <c r="AX415" i="1"/>
  <c r="AX416" i="1"/>
  <c r="AX417" i="1"/>
  <c r="AX418" i="1"/>
  <c r="AX419" i="1"/>
  <c r="AX420" i="1"/>
  <c r="AX421" i="1"/>
  <c r="AX423" i="1"/>
  <c r="AX427" i="1"/>
  <c r="AX428" i="1"/>
  <c r="U602" i="1" l="1"/>
  <c r="U601" i="1"/>
  <c r="R601" i="1"/>
  <c r="S601" i="1" s="1"/>
  <c r="P601" i="1"/>
  <c r="Q601" i="1" s="1"/>
  <c r="N601" i="1"/>
  <c r="O601" i="1" s="1"/>
  <c r="L601" i="1"/>
  <c r="M601" i="1" s="1"/>
  <c r="K601" i="1"/>
  <c r="U600" i="1"/>
  <c r="R600" i="1"/>
  <c r="S600" i="1" s="1"/>
  <c r="P600" i="1"/>
  <c r="Q600" i="1" s="1"/>
  <c r="N600" i="1"/>
  <c r="O600" i="1" s="1"/>
  <c r="L600" i="1"/>
  <c r="M600" i="1" s="1"/>
  <c r="K600" i="1"/>
  <c r="U599" i="1"/>
  <c r="R599" i="1"/>
  <c r="S599" i="1" s="1"/>
  <c r="P599" i="1"/>
  <c r="Q599" i="1" s="1"/>
  <c r="N599" i="1"/>
  <c r="O599" i="1" s="1"/>
  <c r="L599" i="1"/>
  <c r="M599" i="1" s="1"/>
  <c r="K599" i="1"/>
  <c r="U598" i="1"/>
  <c r="R598" i="1"/>
  <c r="S598" i="1" s="1"/>
  <c r="P598" i="1"/>
  <c r="Q598" i="1" s="1"/>
  <c r="N598" i="1"/>
  <c r="O598" i="1" s="1"/>
  <c r="L598" i="1"/>
  <c r="M598" i="1" s="1"/>
  <c r="K598" i="1"/>
  <c r="U597" i="1"/>
  <c r="R597" i="1"/>
  <c r="S597" i="1" s="1"/>
  <c r="P597" i="1"/>
  <c r="Q597" i="1" s="1"/>
  <c r="N597" i="1"/>
  <c r="O597" i="1" s="1"/>
  <c r="L597" i="1"/>
  <c r="M597" i="1" s="1"/>
  <c r="K597" i="1"/>
  <c r="U596" i="1"/>
  <c r="S596" i="1"/>
  <c r="Q596" i="1"/>
  <c r="O596" i="1"/>
  <c r="M596" i="1"/>
  <c r="K596" i="1"/>
  <c r="U595" i="1"/>
  <c r="S595" i="1"/>
  <c r="Q595" i="1"/>
  <c r="O595" i="1"/>
  <c r="M595" i="1"/>
  <c r="K595" i="1"/>
  <c r="U594" i="1"/>
  <c r="S594" i="1"/>
  <c r="Q594" i="1"/>
  <c r="O594" i="1"/>
  <c r="M594" i="1"/>
  <c r="K594" i="1"/>
  <c r="U593" i="1"/>
  <c r="S593" i="1"/>
  <c r="Q593" i="1"/>
  <c r="O593" i="1"/>
  <c r="M593" i="1"/>
  <c r="K593" i="1"/>
  <c r="U592" i="1"/>
  <c r="S592" i="1"/>
  <c r="Q592" i="1"/>
  <c r="O592" i="1"/>
  <c r="M592" i="1"/>
  <c r="K592" i="1"/>
  <c r="U591" i="1"/>
  <c r="S591" i="1"/>
  <c r="Q591" i="1"/>
  <c r="O591" i="1"/>
  <c r="M591" i="1"/>
  <c r="K591" i="1"/>
  <c r="U590" i="1"/>
  <c r="S590" i="1"/>
  <c r="Q590" i="1"/>
  <c r="O590" i="1"/>
  <c r="M590" i="1"/>
  <c r="K590" i="1"/>
  <c r="U589" i="1"/>
  <c r="S589" i="1"/>
  <c r="Q589" i="1"/>
  <c r="O589" i="1"/>
  <c r="M589" i="1"/>
  <c r="K589" i="1"/>
  <c r="U588" i="1"/>
  <c r="S588" i="1"/>
  <c r="Q588" i="1"/>
  <c r="O588" i="1"/>
  <c r="M588" i="1"/>
  <c r="K588" i="1"/>
  <c r="U587" i="1"/>
  <c r="S587" i="1"/>
  <c r="Q587" i="1"/>
  <c r="O587" i="1"/>
  <c r="M587" i="1"/>
  <c r="K587" i="1"/>
  <c r="U586" i="1"/>
  <c r="S586" i="1"/>
  <c r="Q586" i="1"/>
  <c r="O586" i="1"/>
  <c r="M586" i="1"/>
  <c r="K586" i="1"/>
  <c r="U585" i="1"/>
  <c r="S585" i="1"/>
  <c r="Q585" i="1"/>
  <c r="O585" i="1"/>
  <c r="M585" i="1"/>
  <c r="K585" i="1"/>
  <c r="S584" i="1"/>
  <c r="Q584" i="1"/>
  <c r="O584" i="1"/>
  <c r="M584" i="1"/>
  <c r="K584" i="1"/>
  <c r="S583" i="1"/>
  <c r="Q583" i="1"/>
  <c r="O583" i="1"/>
  <c r="M583" i="1"/>
  <c r="K583" i="1"/>
  <c r="U582" i="1"/>
  <c r="S582" i="1"/>
  <c r="Q582" i="1"/>
  <c r="O582" i="1"/>
  <c r="M582" i="1"/>
  <c r="K582" i="1"/>
  <c r="U581" i="1"/>
  <c r="S581" i="1"/>
  <c r="Q581" i="1"/>
  <c r="O581" i="1"/>
  <c r="M581" i="1"/>
  <c r="K581" i="1"/>
  <c r="U580" i="1"/>
  <c r="S580" i="1"/>
  <c r="Q580" i="1"/>
  <c r="O580" i="1"/>
  <c r="M580" i="1"/>
  <c r="K580" i="1"/>
  <c r="U579" i="1"/>
  <c r="S579" i="1"/>
  <c r="Q579" i="1"/>
  <c r="O579" i="1"/>
  <c r="M579" i="1"/>
  <c r="K579" i="1"/>
  <c r="U578" i="1"/>
  <c r="S578" i="1"/>
  <c r="Q578" i="1"/>
  <c r="O578" i="1"/>
  <c r="M578" i="1"/>
  <c r="K578" i="1"/>
  <c r="U577" i="1"/>
  <c r="S577" i="1"/>
  <c r="Q577" i="1"/>
  <c r="O577" i="1"/>
  <c r="M577" i="1"/>
  <c r="K577" i="1"/>
  <c r="U576" i="1"/>
  <c r="S576" i="1"/>
  <c r="Q576" i="1"/>
  <c r="O576" i="1"/>
  <c r="M576" i="1"/>
  <c r="K576" i="1"/>
  <c r="U575" i="1"/>
  <c r="S575" i="1"/>
  <c r="Q575" i="1"/>
  <c r="O575" i="1"/>
  <c r="M575" i="1"/>
  <c r="K575" i="1"/>
  <c r="U574" i="1"/>
  <c r="S574" i="1"/>
  <c r="Q574" i="1"/>
  <c r="O574" i="1"/>
  <c r="M574" i="1"/>
  <c r="K574" i="1"/>
  <c r="U571" i="1"/>
  <c r="R571" i="1"/>
  <c r="S571" i="1" s="1"/>
  <c r="P571" i="1"/>
  <c r="Q571" i="1" s="1"/>
  <c r="O571" i="1"/>
  <c r="L571" i="1"/>
  <c r="M571" i="1" s="1"/>
  <c r="K571" i="1"/>
  <c r="U570" i="1"/>
  <c r="R570" i="1"/>
  <c r="S570" i="1" s="1"/>
  <c r="P570" i="1"/>
  <c r="Q570" i="1" s="1"/>
  <c r="N570" i="1"/>
  <c r="O570" i="1" s="1"/>
  <c r="L570" i="1"/>
  <c r="M570" i="1" s="1"/>
  <c r="K570" i="1"/>
  <c r="U569" i="1"/>
  <c r="R569" i="1"/>
  <c r="S569" i="1" s="1"/>
  <c r="P569" i="1"/>
  <c r="Q569" i="1" s="1"/>
  <c r="N569" i="1"/>
  <c r="O569" i="1" s="1"/>
  <c r="L569" i="1"/>
  <c r="M569" i="1" s="1"/>
  <c r="K569" i="1"/>
  <c r="U568" i="1"/>
  <c r="R568" i="1"/>
  <c r="S568" i="1" s="1"/>
  <c r="P568" i="1"/>
  <c r="Q568" i="1" s="1"/>
  <c r="N568" i="1"/>
  <c r="O568" i="1" s="1"/>
  <c r="L568" i="1"/>
  <c r="M568" i="1" s="1"/>
  <c r="K568" i="1"/>
  <c r="U567" i="1"/>
  <c r="R567" i="1"/>
  <c r="S567" i="1" s="1"/>
  <c r="P567" i="1"/>
  <c r="Q567" i="1" s="1"/>
  <c r="N567" i="1"/>
  <c r="O567" i="1" s="1"/>
  <c r="L567" i="1"/>
  <c r="M567" i="1" s="1"/>
  <c r="K567" i="1"/>
  <c r="U566" i="1"/>
  <c r="R566" i="1"/>
  <c r="S566" i="1" s="1"/>
  <c r="P566" i="1"/>
  <c r="Q566" i="1" s="1"/>
  <c r="N566" i="1"/>
  <c r="O566" i="1" s="1"/>
  <c r="L566" i="1"/>
  <c r="M566" i="1" s="1"/>
  <c r="K566" i="1"/>
  <c r="U565" i="1"/>
  <c r="R565" i="1"/>
  <c r="S565" i="1" s="1"/>
  <c r="P565" i="1"/>
  <c r="Q565" i="1" s="1"/>
  <c r="N565" i="1"/>
  <c r="O565" i="1" s="1"/>
  <c r="L565" i="1"/>
  <c r="M565" i="1" s="1"/>
  <c r="K565" i="1"/>
  <c r="U563" i="1"/>
  <c r="R563" i="1"/>
  <c r="S563" i="1" s="1"/>
  <c r="P563" i="1"/>
  <c r="Q563" i="1" s="1"/>
  <c r="N563" i="1"/>
  <c r="O563" i="1" s="1"/>
  <c r="L563" i="1"/>
  <c r="M563" i="1" s="1"/>
  <c r="K563" i="1"/>
  <c r="U562" i="1"/>
  <c r="R562" i="1"/>
  <c r="S562" i="1" s="1"/>
  <c r="P562" i="1"/>
  <c r="Q562" i="1" s="1"/>
  <c r="N562" i="1"/>
  <c r="O562" i="1" s="1"/>
  <c r="L562" i="1"/>
  <c r="M562" i="1" s="1"/>
  <c r="K562" i="1"/>
  <c r="U561" i="1"/>
  <c r="R561" i="1"/>
  <c r="S561" i="1" s="1"/>
  <c r="P561" i="1"/>
  <c r="Q561" i="1" s="1"/>
  <c r="N561" i="1"/>
  <c r="O561" i="1" s="1"/>
  <c r="L561" i="1"/>
  <c r="M561" i="1" s="1"/>
  <c r="K561" i="1"/>
  <c r="U559" i="1"/>
  <c r="R559" i="1"/>
  <c r="S559" i="1" s="1"/>
  <c r="P559" i="1"/>
  <c r="Q559" i="1" s="1"/>
  <c r="N559" i="1"/>
  <c r="O559" i="1" s="1"/>
  <c r="L559" i="1"/>
  <c r="M559" i="1" s="1"/>
  <c r="K559" i="1"/>
  <c r="U558" i="1"/>
  <c r="R558" i="1"/>
  <c r="S558" i="1" s="1"/>
  <c r="P558" i="1"/>
  <c r="N558" i="1"/>
  <c r="O558" i="1" s="1"/>
  <c r="Q558" i="1" s="1"/>
  <c r="L558" i="1"/>
  <c r="M558" i="1" s="1"/>
  <c r="M557" i="1" s="1"/>
  <c r="K558" i="1"/>
  <c r="U557" i="1"/>
  <c r="R557" i="1"/>
  <c r="S557" i="1" s="1"/>
  <c r="P557" i="1"/>
  <c r="N557" i="1"/>
  <c r="O557" i="1" s="1"/>
  <c r="L557" i="1"/>
  <c r="K557" i="1"/>
  <c r="U556" i="1"/>
  <c r="R556" i="1"/>
  <c r="S556" i="1" s="1"/>
  <c r="P556" i="1"/>
  <c r="Q556" i="1" s="1"/>
  <c r="N556" i="1"/>
  <c r="O556" i="1" s="1"/>
  <c r="L556" i="1"/>
  <c r="M556" i="1" s="1"/>
  <c r="K556" i="1"/>
  <c r="U555" i="1"/>
  <c r="R555" i="1"/>
  <c r="S555" i="1" s="1"/>
  <c r="P555" i="1"/>
  <c r="Q555" i="1" s="1"/>
  <c r="N555" i="1"/>
  <c r="O555" i="1" s="1"/>
  <c r="L555" i="1"/>
  <c r="M555" i="1" s="1"/>
  <c r="K555" i="1"/>
  <c r="U554" i="1"/>
  <c r="R554" i="1"/>
  <c r="S554" i="1" s="1"/>
  <c r="P554" i="1"/>
  <c r="Q554" i="1" s="1"/>
  <c r="N554" i="1"/>
  <c r="O554" i="1" s="1"/>
  <c r="L554" i="1"/>
  <c r="M554" i="1" s="1"/>
  <c r="K554" i="1"/>
  <c r="U553" i="1"/>
  <c r="R553" i="1"/>
  <c r="S553" i="1" s="1"/>
  <c r="P553" i="1"/>
  <c r="Q553" i="1" s="1"/>
  <c r="N553" i="1"/>
  <c r="O553" i="1" s="1"/>
  <c r="L553" i="1"/>
  <c r="M553" i="1" s="1"/>
  <c r="K553" i="1"/>
  <c r="U552" i="1"/>
  <c r="R552" i="1"/>
  <c r="S552" i="1" s="1"/>
  <c r="P552" i="1"/>
  <c r="Q552" i="1" s="1"/>
  <c r="N552" i="1"/>
  <c r="O552" i="1" s="1"/>
  <c r="L552" i="1"/>
  <c r="M552" i="1" s="1"/>
  <c r="K552" i="1"/>
  <c r="U551" i="1"/>
  <c r="S551" i="1"/>
  <c r="Q551" i="1"/>
  <c r="O551" i="1"/>
  <c r="M551" i="1"/>
  <c r="K551" i="1"/>
  <c r="U550" i="1"/>
  <c r="S550" i="1"/>
  <c r="Q550" i="1"/>
  <c r="O550" i="1"/>
  <c r="M550" i="1"/>
  <c r="K550" i="1"/>
  <c r="U549" i="1"/>
  <c r="S549" i="1"/>
  <c r="Q549" i="1"/>
  <c r="O549" i="1"/>
  <c r="M549" i="1"/>
  <c r="K549" i="1"/>
  <c r="U548" i="1"/>
  <c r="S548" i="1"/>
  <c r="Q548" i="1"/>
  <c r="O548" i="1"/>
  <c r="M548" i="1"/>
  <c r="K548" i="1"/>
  <c r="U547" i="1"/>
  <c r="S547" i="1"/>
  <c r="Q547" i="1"/>
  <c r="O547" i="1"/>
  <c r="M547" i="1"/>
  <c r="K547" i="1"/>
  <c r="U545" i="1"/>
  <c r="S545" i="1"/>
  <c r="Q545" i="1"/>
  <c r="O545" i="1"/>
  <c r="M545" i="1"/>
  <c r="K545" i="1"/>
  <c r="U544" i="1"/>
  <c r="S544" i="1"/>
  <c r="Q544" i="1"/>
  <c r="O544" i="1"/>
  <c r="M544" i="1"/>
  <c r="K544" i="1"/>
  <c r="U542" i="1"/>
  <c r="R542" i="1"/>
  <c r="S542" i="1" s="1"/>
  <c r="P542" i="1"/>
  <c r="Q542" i="1" s="1"/>
  <c r="N542" i="1"/>
  <c r="O542" i="1" s="1"/>
  <c r="L542" i="1"/>
  <c r="M542" i="1" s="1"/>
  <c r="K542" i="1"/>
  <c r="U541" i="1"/>
  <c r="R541" i="1"/>
  <c r="S541" i="1" s="1"/>
  <c r="P541" i="1"/>
  <c r="Q541" i="1" s="1"/>
  <c r="N541" i="1"/>
  <c r="O541" i="1" s="1"/>
  <c r="L541" i="1"/>
  <c r="M541" i="1" s="1"/>
  <c r="K541" i="1"/>
  <c r="U540" i="1"/>
  <c r="R540" i="1"/>
  <c r="S540" i="1" s="1"/>
  <c r="P540" i="1"/>
  <c r="Q540" i="1" s="1"/>
  <c r="N540" i="1"/>
  <c r="O540" i="1" s="1"/>
  <c r="L540" i="1"/>
  <c r="M540" i="1" s="1"/>
  <c r="K540" i="1"/>
  <c r="U539" i="1"/>
  <c r="R539" i="1"/>
  <c r="S539" i="1" s="1"/>
  <c r="P539" i="1"/>
  <c r="Q539" i="1" s="1"/>
  <c r="N539" i="1"/>
  <c r="O539" i="1" s="1"/>
  <c r="L539" i="1"/>
  <c r="M539" i="1" s="1"/>
  <c r="K539" i="1"/>
  <c r="U538" i="1"/>
  <c r="R538" i="1"/>
  <c r="S538" i="1" s="1"/>
  <c r="P538" i="1"/>
  <c r="Q538" i="1" s="1"/>
  <c r="N538" i="1"/>
  <c r="O538" i="1" s="1"/>
  <c r="L538" i="1"/>
  <c r="M538" i="1" s="1"/>
  <c r="K538" i="1"/>
  <c r="U537" i="1"/>
  <c r="R537" i="1"/>
  <c r="S537" i="1" s="1"/>
  <c r="P537" i="1"/>
  <c r="Q537" i="1" s="1"/>
  <c r="N537" i="1"/>
  <c r="O537" i="1" s="1"/>
  <c r="L537" i="1"/>
  <c r="M537" i="1" s="1"/>
  <c r="K537" i="1"/>
  <c r="U536" i="1"/>
  <c r="R536" i="1"/>
  <c r="S536" i="1" s="1"/>
  <c r="P536" i="1"/>
  <c r="Q536" i="1" s="1"/>
  <c r="N536" i="1"/>
  <c r="O536" i="1" s="1"/>
  <c r="L536" i="1"/>
  <c r="M536" i="1" s="1"/>
  <c r="K536" i="1"/>
  <c r="U535" i="1"/>
  <c r="R535" i="1"/>
  <c r="S535" i="1" s="1"/>
  <c r="P535" i="1"/>
  <c r="Q535" i="1" s="1"/>
  <c r="N535" i="1"/>
  <c r="O535" i="1" s="1"/>
  <c r="L535" i="1"/>
  <c r="M535" i="1" s="1"/>
  <c r="K535" i="1"/>
  <c r="U534" i="1"/>
  <c r="R534" i="1"/>
  <c r="S534" i="1" s="1"/>
  <c r="P534" i="1"/>
  <c r="Q534" i="1" s="1"/>
  <c r="N534" i="1"/>
  <c r="O534" i="1" s="1"/>
  <c r="L534" i="1"/>
  <c r="M534" i="1" s="1"/>
  <c r="K534" i="1"/>
  <c r="U533" i="1"/>
  <c r="R533" i="1"/>
  <c r="S533" i="1" s="1"/>
  <c r="P533" i="1"/>
  <c r="Q533" i="1" s="1"/>
  <c r="N533" i="1"/>
  <c r="O533" i="1" s="1"/>
  <c r="L533" i="1"/>
  <c r="M533" i="1" s="1"/>
  <c r="K533" i="1"/>
  <c r="U532" i="1"/>
  <c r="R532" i="1"/>
  <c r="S532" i="1" s="1"/>
  <c r="P532" i="1"/>
  <c r="Q532" i="1" s="1"/>
  <c r="N532" i="1"/>
  <c r="O532" i="1" s="1"/>
  <c r="L532" i="1"/>
  <c r="M532" i="1" s="1"/>
  <c r="K532" i="1"/>
  <c r="U531" i="1"/>
  <c r="R531" i="1"/>
  <c r="S531" i="1" s="1"/>
  <c r="P531" i="1"/>
  <c r="Q531" i="1" s="1"/>
  <c r="N531" i="1"/>
  <c r="O531" i="1" s="1"/>
  <c r="L531" i="1"/>
  <c r="M531" i="1" s="1"/>
  <c r="K531" i="1"/>
  <c r="U530" i="1"/>
  <c r="R530" i="1"/>
  <c r="S530" i="1" s="1"/>
  <c r="P530" i="1"/>
  <c r="Q530" i="1" s="1"/>
  <c r="N530" i="1"/>
  <c r="O530" i="1" s="1"/>
  <c r="L530" i="1"/>
  <c r="M530" i="1" s="1"/>
  <c r="K530" i="1"/>
  <c r="U529" i="1"/>
  <c r="R529" i="1"/>
  <c r="S529" i="1" s="1"/>
  <c r="P529" i="1"/>
  <c r="Q529" i="1" s="1"/>
  <c r="N529" i="1"/>
  <c r="O529" i="1" s="1"/>
  <c r="L529" i="1"/>
  <c r="M529" i="1" s="1"/>
  <c r="K529" i="1"/>
  <c r="U528" i="1"/>
  <c r="R528" i="1"/>
  <c r="S528" i="1" s="1"/>
  <c r="P528" i="1"/>
  <c r="Q528" i="1" s="1"/>
  <c r="N528" i="1"/>
  <c r="O528" i="1" s="1"/>
  <c r="L528" i="1"/>
  <c r="M528" i="1" s="1"/>
  <c r="K528" i="1"/>
  <c r="U527" i="1"/>
  <c r="R527" i="1"/>
  <c r="S527" i="1" s="1"/>
  <c r="P527" i="1"/>
  <c r="Q527" i="1" s="1"/>
  <c r="N527" i="1"/>
  <c r="O527" i="1" s="1"/>
  <c r="L527" i="1"/>
  <c r="M527" i="1" s="1"/>
  <c r="K527" i="1"/>
  <c r="U526" i="1"/>
  <c r="R526" i="1"/>
  <c r="S526" i="1" s="1"/>
  <c r="P526" i="1"/>
  <c r="Q526" i="1" s="1"/>
  <c r="N526" i="1"/>
  <c r="O526" i="1" s="1"/>
  <c r="L526" i="1"/>
  <c r="M526" i="1" s="1"/>
  <c r="K526" i="1"/>
  <c r="U524" i="1"/>
  <c r="R524" i="1"/>
  <c r="S524" i="1" s="1"/>
  <c r="P524" i="1"/>
  <c r="Q524" i="1" s="1"/>
  <c r="N524" i="1"/>
  <c r="O524" i="1" s="1"/>
  <c r="L524" i="1"/>
  <c r="M524" i="1" s="1"/>
  <c r="K524" i="1"/>
  <c r="U523" i="1"/>
  <c r="R523" i="1"/>
  <c r="S523" i="1" s="1"/>
  <c r="P523" i="1"/>
  <c r="Q523" i="1" s="1"/>
  <c r="N523" i="1"/>
  <c r="O523" i="1" s="1"/>
  <c r="L523" i="1"/>
  <c r="M523" i="1" s="1"/>
  <c r="K523" i="1"/>
  <c r="U522" i="1"/>
  <c r="R522" i="1"/>
  <c r="S522" i="1" s="1"/>
  <c r="P522" i="1"/>
  <c r="Q522" i="1" s="1"/>
  <c r="N522" i="1"/>
  <c r="O522" i="1" s="1"/>
  <c r="L522" i="1"/>
  <c r="M522" i="1" s="1"/>
  <c r="K522" i="1"/>
  <c r="U521" i="1"/>
  <c r="R521" i="1"/>
  <c r="S521" i="1" s="1"/>
  <c r="P521" i="1"/>
  <c r="Q521" i="1" s="1"/>
  <c r="N521" i="1"/>
  <c r="O521" i="1" s="1"/>
  <c r="L521" i="1"/>
  <c r="M521" i="1" s="1"/>
  <c r="K521" i="1"/>
  <c r="U520" i="1"/>
  <c r="R520" i="1"/>
  <c r="S520" i="1" s="1"/>
  <c r="P520" i="1"/>
  <c r="Q520" i="1" s="1"/>
  <c r="N520" i="1"/>
  <c r="O520" i="1" s="1"/>
  <c r="L520" i="1"/>
  <c r="M520" i="1" s="1"/>
  <c r="K520" i="1"/>
  <c r="U519" i="1"/>
  <c r="R519" i="1"/>
  <c r="S519" i="1" s="1"/>
  <c r="P519" i="1"/>
  <c r="Q519" i="1" s="1"/>
  <c r="N519" i="1"/>
  <c r="O519" i="1" s="1"/>
  <c r="L519" i="1"/>
  <c r="M519" i="1" s="1"/>
  <c r="K519" i="1"/>
  <c r="U516" i="1"/>
  <c r="R516" i="1"/>
  <c r="S516" i="1" s="1"/>
  <c r="P516" i="1"/>
  <c r="Q516" i="1" s="1"/>
  <c r="N516" i="1"/>
  <c r="O516" i="1" s="1"/>
  <c r="L516" i="1"/>
  <c r="M516" i="1" s="1"/>
  <c r="K516" i="1"/>
  <c r="U515" i="1"/>
  <c r="R515" i="1"/>
  <c r="S515" i="1" s="1"/>
  <c r="P515" i="1"/>
  <c r="Q515" i="1" s="1"/>
  <c r="N515" i="1"/>
  <c r="O515" i="1" s="1"/>
  <c r="L515" i="1"/>
  <c r="M515" i="1" s="1"/>
  <c r="K515" i="1"/>
  <c r="U513" i="1"/>
  <c r="R513" i="1"/>
  <c r="S513" i="1" s="1"/>
  <c r="P513" i="1"/>
  <c r="Q513" i="1" s="1"/>
  <c r="N513" i="1"/>
  <c r="O513" i="1" s="1"/>
  <c r="L513" i="1"/>
  <c r="M513" i="1" s="1"/>
  <c r="K513" i="1"/>
  <c r="U512" i="1"/>
  <c r="R512" i="1"/>
  <c r="S512" i="1" s="1"/>
  <c r="P512" i="1"/>
  <c r="Q512" i="1" s="1"/>
  <c r="N512" i="1"/>
  <c r="O512" i="1" s="1"/>
  <c r="L512" i="1"/>
  <c r="M512" i="1" s="1"/>
  <c r="K512" i="1"/>
  <c r="U510" i="1"/>
  <c r="R510" i="1"/>
  <c r="S510" i="1" s="1"/>
  <c r="P510" i="1"/>
  <c r="Q510" i="1" s="1"/>
  <c r="N510" i="1"/>
  <c r="O510" i="1" s="1"/>
  <c r="L510" i="1"/>
  <c r="M510" i="1" s="1"/>
  <c r="K510" i="1"/>
  <c r="U509" i="1"/>
  <c r="R509" i="1"/>
  <c r="S509" i="1" s="1"/>
  <c r="P509" i="1"/>
  <c r="Q509" i="1" s="1"/>
  <c r="N509" i="1"/>
  <c r="O509" i="1" s="1"/>
  <c r="L509" i="1"/>
  <c r="M509" i="1" s="1"/>
  <c r="K509" i="1"/>
  <c r="U507" i="1"/>
  <c r="R507" i="1"/>
  <c r="S507" i="1" s="1"/>
  <c r="P507" i="1"/>
  <c r="Q507" i="1" s="1"/>
  <c r="N507" i="1"/>
  <c r="O507" i="1" s="1"/>
  <c r="L507" i="1"/>
  <c r="M507" i="1" s="1"/>
  <c r="K507" i="1"/>
  <c r="U506" i="1"/>
  <c r="R506" i="1"/>
  <c r="S506" i="1" s="1"/>
  <c r="P506" i="1"/>
  <c r="Q506" i="1" s="1"/>
  <c r="N506" i="1"/>
  <c r="O506" i="1" s="1"/>
  <c r="L506" i="1"/>
  <c r="M506" i="1" s="1"/>
  <c r="K506" i="1"/>
  <c r="U505" i="1"/>
  <c r="R505" i="1"/>
  <c r="S505" i="1" s="1"/>
  <c r="P505" i="1"/>
  <c r="Q505" i="1" s="1"/>
  <c r="N505" i="1"/>
  <c r="O505" i="1" s="1"/>
  <c r="L505" i="1"/>
  <c r="M505" i="1" s="1"/>
  <c r="K505" i="1"/>
  <c r="U504" i="1"/>
  <c r="R504" i="1"/>
  <c r="S504" i="1" s="1"/>
  <c r="P504" i="1"/>
  <c r="Q504" i="1" s="1"/>
  <c r="N504" i="1"/>
  <c r="O504" i="1" s="1"/>
  <c r="L504" i="1"/>
  <c r="M504" i="1" s="1"/>
  <c r="K504" i="1"/>
  <c r="U503" i="1"/>
  <c r="R503" i="1"/>
  <c r="S503" i="1" s="1"/>
  <c r="P503" i="1"/>
  <c r="Q503" i="1" s="1"/>
  <c r="N503" i="1"/>
  <c r="O503" i="1" s="1"/>
  <c r="L503" i="1"/>
  <c r="M503" i="1" s="1"/>
  <c r="K503" i="1"/>
  <c r="U502" i="1"/>
  <c r="R502" i="1"/>
  <c r="S502" i="1" s="1"/>
  <c r="P502" i="1"/>
  <c r="Q502" i="1" s="1"/>
  <c r="N502" i="1"/>
  <c r="O502" i="1" s="1"/>
  <c r="L502" i="1"/>
  <c r="M502" i="1" s="1"/>
  <c r="K502" i="1"/>
  <c r="U501" i="1"/>
  <c r="R501" i="1"/>
  <c r="S501" i="1" s="1"/>
  <c r="P501" i="1"/>
  <c r="Q501" i="1" s="1"/>
  <c r="N501" i="1"/>
  <c r="O501" i="1" s="1"/>
  <c r="L501" i="1"/>
  <c r="M501" i="1" s="1"/>
  <c r="K501" i="1"/>
  <c r="U500" i="1"/>
  <c r="R500" i="1"/>
  <c r="S500" i="1" s="1"/>
  <c r="P500" i="1"/>
  <c r="Q500" i="1" s="1"/>
  <c r="N500" i="1"/>
  <c r="O500" i="1" s="1"/>
  <c r="L500" i="1"/>
  <c r="M500" i="1" s="1"/>
  <c r="K500" i="1"/>
  <c r="U499" i="1"/>
  <c r="R499" i="1"/>
  <c r="S499" i="1" s="1"/>
  <c r="P499" i="1"/>
  <c r="Q499" i="1" s="1"/>
  <c r="N499" i="1"/>
  <c r="O499" i="1" s="1"/>
  <c r="L499" i="1"/>
  <c r="M499" i="1" s="1"/>
  <c r="K499" i="1"/>
  <c r="U498" i="1"/>
  <c r="R498" i="1"/>
  <c r="S498" i="1" s="1"/>
  <c r="P498" i="1"/>
  <c r="Q498" i="1" s="1"/>
  <c r="N498" i="1"/>
  <c r="O498" i="1" s="1"/>
  <c r="L498" i="1"/>
  <c r="M498" i="1" s="1"/>
  <c r="K498" i="1"/>
  <c r="U497" i="1"/>
  <c r="R497" i="1"/>
  <c r="S497" i="1" s="1"/>
  <c r="P497" i="1"/>
  <c r="Q497" i="1" s="1"/>
  <c r="N497" i="1"/>
  <c r="O497" i="1" s="1"/>
  <c r="L497" i="1"/>
  <c r="M497" i="1" s="1"/>
  <c r="U496" i="1"/>
  <c r="R496" i="1"/>
  <c r="S496" i="1" s="1"/>
  <c r="P496" i="1"/>
  <c r="Q496" i="1" s="1"/>
  <c r="N496" i="1"/>
  <c r="O496" i="1" s="1"/>
  <c r="L496" i="1"/>
  <c r="M496" i="1" s="1"/>
  <c r="K496" i="1"/>
  <c r="U495" i="1"/>
  <c r="R495" i="1"/>
  <c r="S495" i="1" s="1"/>
  <c r="P495" i="1"/>
  <c r="Q495" i="1" s="1"/>
  <c r="N495" i="1"/>
  <c r="O495" i="1" s="1"/>
  <c r="L495" i="1"/>
  <c r="M495" i="1" s="1"/>
  <c r="K495" i="1"/>
  <c r="U494" i="1"/>
  <c r="R494" i="1"/>
  <c r="S494" i="1" s="1"/>
  <c r="P494" i="1"/>
  <c r="Q494" i="1" s="1"/>
  <c r="N494" i="1"/>
  <c r="O494" i="1" s="1"/>
  <c r="L494" i="1"/>
  <c r="M494" i="1" s="1"/>
  <c r="K494" i="1"/>
  <c r="U493" i="1"/>
  <c r="R493" i="1"/>
  <c r="S493" i="1" s="1"/>
  <c r="P493" i="1"/>
  <c r="Q493" i="1" s="1"/>
  <c r="N493" i="1"/>
  <c r="O493" i="1" s="1"/>
  <c r="L493" i="1"/>
  <c r="M493" i="1" s="1"/>
  <c r="K493" i="1"/>
  <c r="U492" i="1"/>
  <c r="R492" i="1"/>
  <c r="S492" i="1" s="1"/>
  <c r="P492" i="1"/>
  <c r="Q492" i="1" s="1"/>
  <c r="N492" i="1"/>
  <c r="O492" i="1" s="1"/>
  <c r="L492" i="1"/>
  <c r="M492" i="1" s="1"/>
  <c r="K492" i="1"/>
  <c r="U491" i="1"/>
  <c r="R491" i="1"/>
  <c r="S491" i="1" s="1"/>
  <c r="P491" i="1"/>
  <c r="Q491" i="1" s="1"/>
  <c r="N491" i="1"/>
  <c r="O491" i="1" s="1"/>
  <c r="L491" i="1"/>
  <c r="M491" i="1" s="1"/>
  <c r="K491" i="1"/>
  <c r="U490" i="1"/>
  <c r="R490" i="1"/>
  <c r="S490" i="1" s="1"/>
  <c r="P490" i="1"/>
  <c r="Q490" i="1" s="1"/>
  <c r="N490" i="1"/>
  <c r="O490" i="1" s="1"/>
  <c r="L490" i="1"/>
  <c r="M490" i="1" s="1"/>
  <c r="K490" i="1"/>
  <c r="U489" i="1"/>
  <c r="R489" i="1"/>
  <c r="S489" i="1" s="1"/>
  <c r="P489" i="1"/>
  <c r="Q489" i="1" s="1"/>
  <c r="N489" i="1"/>
  <c r="O489" i="1" s="1"/>
  <c r="L489" i="1"/>
  <c r="M489" i="1" s="1"/>
  <c r="K489" i="1"/>
  <c r="U488" i="1"/>
  <c r="R488" i="1"/>
  <c r="S488" i="1" s="1"/>
  <c r="P488" i="1"/>
  <c r="Q488" i="1" s="1"/>
  <c r="N488" i="1"/>
  <c r="O488" i="1" s="1"/>
  <c r="L488" i="1"/>
  <c r="M488" i="1" s="1"/>
  <c r="K488" i="1"/>
  <c r="U487" i="1"/>
  <c r="R487" i="1"/>
  <c r="S487" i="1" s="1"/>
  <c r="P487" i="1"/>
  <c r="Q487" i="1" s="1"/>
  <c r="N487" i="1"/>
  <c r="O487" i="1" s="1"/>
  <c r="L487" i="1"/>
  <c r="M487" i="1" s="1"/>
  <c r="K487" i="1"/>
  <c r="U486" i="1"/>
  <c r="R486" i="1"/>
  <c r="S486" i="1" s="1"/>
  <c r="P486" i="1"/>
  <c r="Q486" i="1" s="1"/>
  <c r="N486" i="1"/>
  <c r="O486" i="1" s="1"/>
  <c r="L486" i="1"/>
  <c r="M486" i="1" s="1"/>
  <c r="K486" i="1"/>
  <c r="U485" i="1"/>
  <c r="R485" i="1"/>
  <c r="S485" i="1" s="1"/>
  <c r="P485" i="1"/>
  <c r="Q485" i="1" s="1"/>
  <c r="N485" i="1"/>
  <c r="O485" i="1" s="1"/>
  <c r="L485" i="1"/>
  <c r="M485" i="1" s="1"/>
  <c r="K485" i="1"/>
  <c r="U484" i="1"/>
  <c r="R484" i="1"/>
  <c r="S484" i="1" s="1"/>
  <c r="P484" i="1"/>
  <c r="Q484" i="1" s="1"/>
  <c r="N484" i="1"/>
  <c r="O484" i="1" s="1"/>
  <c r="L484" i="1"/>
  <c r="M484" i="1" s="1"/>
  <c r="K484" i="1"/>
  <c r="U483" i="1"/>
  <c r="R483" i="1"/>
  <c r="S483" i="1" s="1"/>
  <c r="P483" i="1"/>
  <c r="Q483" i="1" s="1"/>
  <c r="N483" i="1"/>
  <c r="O483" i="1" s="1"/>
  <c r="L483" i="1"/>
  <c r="M483" i="1" s="1"/>
  <c r="K483" i="1"/>
  <c r="U482" i="1"/>
  <c r="R482" i="1"/>
  <c r="S482" i="1" s="1"/>
  <c r="P482" i="1"/>
  <c r="Q482" i="1" s="1"/>
  <c r="N482" i="1"/>
  <c r="O482" i="1" s="1"/>
  <c r="L482" i="1"/>
  <c r="M482" i="1" s="1"/>
  <c r="K482" i="1"/>
  <c r="U481" i="1"/>
  <c r="R481" i="1"/>
  <c r="S481" i="1" s="1"/>
  <c r="P481" i="1"/>
  <c r="Q481" i="1" s="1"/>
  <c r="N481" i="1"/>
  <c r="O481" i="1" s="1"/>
  <c r="L481" i="1"/>
  <c r="M481" i="1" s="1"/>
  <c r="K481" i="1"/>
  <c r="U480" i="1"/>
  <c r="R480" i="1"/>
  <c r="S480" i="1" s="1"/>
  <c r="P480" i="1"/>
  <c r="Q480" i="1" s="1"/>
  <c r="N480" i="1"/>
  <c r="O480" i="1" s="1"/>
  <c r="L480" i="1"/>
  <c r="M480" i="1" s="1"/>
  <c r="K480" i="1"/>
  <c r="U479" i="1"/>
  <c r="R479" i="1"/>
  <c r="S479" i="1" s="1"/>
  <c r="P479" i="1"/>
  <c r="Q479" i="1" s="1"/>
  <c r="N479" i="1"/>
  <c r="O479" i="1" s="1"/>
  <c r="L479" i="1"/>
  <c r="M479" i="1" s="1"/>
  <c r="K479" i="1"/>
  <c r="U477" i="1"/>
  <c r="R477" i="1"/>
  <c r="S477" i="1" s="1"/>
  <c r="P477" i="1"/>
  <c r="Q477" i="1" s="1"/>
  <c r="N477" i="1"/>
  <c r="O477" i="1" s="1"/>
  <c r="L477" i="1"/>
  <c r="M477" i="1" s="1"/>
  <c r="K477" i="1"/>
  <c r="U476" i="1"/>
  <c r="R476" i="1"/>
  <c r="S476" i="1" s="1"/>
  <c r="P476" i="1"/>
  <c r="Q476" i="1" s="1"/>
  <c r="N476" i="1"/>
  <c r="O476" i="1" s="1"/>
  <c r="L476" i="1"/>
  <c r="M476" i="1" s="1"/>
  <c r="K476" i="1"/>
  <c r="U475" i="1"/>
  <c r="R475" i="1"/>
  <c r="S475" i="1" s="1"/>
  <c r="P475" i="1"/>
  <c r="Q475" i="1" s="1"/>
  <c r="N475" i="1"/>
  <c r="O475" i="1" s="1"/>
  <c r="L475" i="1"/>
  <c r="M475" i="1" s="1"/>
  <c r="K475" i="1"/>
  <c r="U473" i="1"/>
  <c r="R473" i="1"/>
  <c r="S473" i="1" s="1"/>
  <c r="P473" i="1"/>
  <c r="Q473" i="1" s="1"/>
  <c r="N473" i="1"/>
  <c r="O473" i="1" s="1"/>
  <c r="L473" i="1"/>
  <c r="M473" i="1" s="1"/>
  <c r="K473" i="1"/>
  <c r="U472" i="1"/>
  <c r="R472" i="1"/>
  <c r="S472" i="1" s="1"/>
  <c r="P472" i="1"/>
  <c r="Q472" i="1" s="1"/>
  <c r="N472" i="1"/>
  <c r="O472" i="1" s="1"/>
  <c r="L472" i="1"/>
  <c r="M472" i="1" s="1"/>
  <c r="K472" i="1"/>
  <c r="R471" i="1"/>
  <c r="S471" i="1" s="1"/>
  <c r="P471" i="1"/>
  <c r="Q471" i="1" s="1"/>
  <c r="N471" i="1"/>
  <c r="O471" i="1" s="1"/>
  <c r="L471" i="1"/>
  <c r="M471" i="1" s="1"/>
  <c r="K471" i="1"/>
  <c r="U461" i="1"/>
  <c r="R461" i="1"/>
  <c r="S461" i="1" s="1"/>
  <c r="P461" i="1"/>
  <c r="Q461" i="1" s="1"/>
  <c r="N461" i="1"/>
  <c r="O461" i="1" s="1"/>
  <c r="L461" i="1"/>
  <c r="M461" i="1" s="1"/>
  <c r="K461" i="1"/>
  <c r="U460" i="1"/>
  <c r="R460" i="1"/>
  <c r="S460" i="1" s="1"/>
  <c r="P460" i="1"/>
  <c r="Q460" i="1" s="1"/>
  <c r="N460" i="1"/>
  <c r="O460" i="1" s="1"/>
  <c r="L460" i="1"/>
  <c r="M460" i="1" s="1"/>
  <c r="K460" i="1"/>
  <c r="U459" i="1"/>
  <c r="R459" i="1"/>
  <c r="S459" i="1" s="1"/>
  <c r="P459" i="1"/>
  <c r="Q459" i="1" s="1"/>
  <c r="N459" i="1"/>
  <c r="O459" i="1" s="1"/>
  <c r="L459" i="1"/>
  <c r="M459" i="1" s="1"/>
  <c r="K459" i="1"/>
  <c r="U458" i="1"/>
  <c r="R458" i="1"/>
  <c r="S458" i="1" s="1"/>
  <c r="P458" i="1"/>
  <c r="Q458" i="1" s="1"/>
  <c r="N458" i="1"/>
  <c r="O458" i="1" s="1"/>
  <c r="L458" i="1"/>
  <c r="M458" i="1" s="1"/>
  <c r="K458" i="1"/>
  <c r="U457" i="1"/>
  <c r="R457" i="1"/>
  <c r="S457" i="1" s="1"/>
  <c r="P457" i="1"/>
  <c r="Q457" i="1" s="1"/>
  <c r="N457" i="1"/>
  <c r="O457" i="1" s="1"/>
  <c r="L457" i="1"/>
  <c r="M457" i="1" s="1"/>
  <c r="K457" i="1"/>
  <c r="U456" i="1"/>
  <c r="R456" i="1"/>
  <c r="S456" i="1" s="1"/>
  <c r="P456" i="1"/>
  <c r="Q456" i="1" s="1"/>
  <c r="N456" i="1"/>
  <c r="O456" i="1" s="1"/>
  <c r="L456" i="1"/>
  <c r="M456" i="1" s="1"/>
  <c r="K456" i="1"/>
  <c r="U455" i="1"/>
  <c r="R455" i="1"/>
  <c r="S455" i="1" s="1"/>
  <c r="P455" i="1"/>
  <c r="Q455" i="1" s="1"/>
  <c r="N455" i="1"/>
  <c r="O455" i="1" s="1"/>
  <c r="L455" i="1"/>
  <c r="M455" i="1" s="1"/>
  <c r="K455" i="1"/>
  <c r="U454" i="1"/>
  <c r="R454" i="1"/>
  <c r="S454" i="1" s="1"/>
  <c r="P454" i="1"/>
  <c r="Q454" i="1" s="1"/>
  <c r="N454" i="1"/>
  <c r="O454" i="1" s="1"/>
  <c r="L454" i="1"/>
  <c r="M454" i="1" s="1"/>
  <c r="K454" i="1"/>
  <c r="U453" i="1"/>
  <c r="R453" i="1"/>
  <c r="S453" i="1" s="1"/>
  <c r="P453" i="1"/>
  <c r="Q453" i="1" s="1"/>
  <c r="N453" i="1"/>
  <c r="O453" i="1" s="1"/>
  <c r="L453" i="1"/>
  <c r="M453" i="1" s="1"/>
  <c r="K453" i="1"/>
  <c r="U452" i="1"/>
  <c r="R452" i="1"/>
  <c r="S452" i="1" s="1"/>
  <c r="P452" i="1"/>
  <c r="Q452" i="1" s="1"/>
  <c r="N452" i="1"/>
  <c r="O452" i="1" s="1"/>
  <c r="L452" i="1"/>
  <c r="M452" i="1" s="1"/>
  <c r="K452" i="1"/>
  <c r="U451" i="1"/>
  <c r="R451" i="1"/>
  <c r="S451" i="1" s="1"/>
  <c r="P451" i="1"/>
  <c r="Q451" i="1" s="1"/>
  <c r="N451" i="1"/>
  <c r="O451" i="1" s="1"/>
  <c r="L451" i="1"/>
  <c r="M451" i="1" s="1"/>
  <c r="K451" i="1"/>
  <c r="U450" i="1"/>
  <c r="R450" i="1"/>
  <c r="S450" i="1" s="1"/>
  <c r="P450" i="1"/>
  <c r="Q450" i="1" s="1"/>
  <c r="N450" i="1"/>
  <c r="O450" i="1" s="1"/>
  <c r="L450" i="1"/>
  <c r="M450" i="1" s="1"/>
  <c r="K450" i="1"/>
  <c r="U449" i="1"/>
  <c r="R449" i="1"/>
  <c r="S449" i="1" s="1"/>
  <c r="P449" i="1"/>
  <c r="Q449" i="1" s="1"/>
  <c r="N449" i="1"/>
  <c r="O449" i="1" s="1"/>
  <c r="L449" i="1"/>
  <c r="M449" i="1" s="1"/>
  <c r="K449" i="1"/>
  <c r="U448" i="1"/>
  <c r="R448" i="1"/>
  <c r="S448" i="1" s="1"/>
  <c r="P448" i="1"/>
  <c r="Q448" i="1" s="1"/>
  <c r="N448" i="1"/>
  <c r="O448" i="1" s="1"/>
  <c r="L448" i="1"/>
  <c r="M448" i="1" s="1"/>
  <c r="K448" i="1"/>
  <c r="U447" i="1"/>
  <c r="R447" i="1"/>
  <c r="S447" i="1" s="1"/>
  <c r="P447" i="1"/>
  <c r="Q447" i="1" s="1"/>
  <c r="N447" i="1"/>
  <c r="O447" i="1" s="1"/>
  <c r="L447" i="1"/>
  <c r="M447" i="1" s="1"/>
  <c r="K447" i="1"/>
  <c r="U446" i="1"/>
  <c r="R446" i="1"/>
  <c r="S446" i="1" s="1"/>
  <c r="P446" i="1"/>
  <c r="Q446" i="1" s="1"/>
  <c r="N446" i="1"/>
  <c r="O446" i="1" s="1"/>
  <c r="L446" i="1"/>
  <c r="M446" i="1" s="1"/>
  <c r="K446" i="1"/>
  <c r="U445" i="1"/>
  <c r="R445" i="1"/>
  <c r="S445" i="1" s="1"/>
  <c r="P445" i="1"/>
  <c r="Q445" i="1" s="1"/>
  <c r="N445" i="1"/>
  <c r="O445" i="1" s="1"/>
  <c r="L445" i="1"/>
  <c r="M445" i="1" s="1"/>
  <c r="K445" i="1"/>
  <c r="U444" i="1"/>
  <c r="R444" i="1"/>
  <c r="S444" i="1" s="1"/>
  <c r="P444" i="1"/>
  <c r="Q444" i="1" s="1"/>
  <c r="N444" i="1"/>
  <c r="O444" i="1" s="1"/>
  <c r="L444" i="1"/>
  <c r="M444" i="1" s="1"/>
  <c r="K444" i="1"/>
  <c r="U443" i="1"/>
  <c r="R443" i="1"/>
  <c r="S443" i="1" s="1"/>
  <c r="P443" i="1"/>
  <c r="Q443" i="1" s="1"/>
  <c r="N443" i="1"/>
  <c r="O443" i="1" s="1"/>
  <c r="L443" i="1"/>
  <c r="M443" i="1" s="1"/>
  <c r="K443" i="1"/>
  <c r="U442" i="1"/>
  <c r="R442" i="1"/>
  <c r="S442" i="1" s="1"/>
  <c r="P442" i="1"/>
  <c r="Q442" i="1" s="1"/>
  <c r="N442" i="1"/>
  <c r="O442" i="1" s="1"/>
  <c r="L442" i="1"/>
  <c r="M442" i="1" s="1"/>
  <c r="K442" i="1"/>
  <c r="U441" i="1"/>
  <c r="R441" i="1"/>
  <c r="S441" i="1" s="1"/>
  <c r="P441" i="1"/>
  <c r="Q441" i="1" s="1"/>
  <c r="N441" i="1"/>
  <c r="O441" i="1" s="1"/>
  <c r="L441" i="1"/>
  <c r="M441" i="1" s="1"/>
  <c r="K441" i="1"/>
  <c r="U440" i="1"/>
  <c r="R440" i="1"/>
  <c r="S440" i="1" s="1"/>
  <c r="P440" i="1"/>
  <c r="Q440" i="1" s="1"/>
  <c r="N440" i="1"/>
  <c r="O440" i="1" s="1"/>
  <c r="L440" i="1"/>
  <c r="M440" i="1" s="1"/>
  <c r="K440" i="1"/>
  <c r="U428" i="1"/>
  <c r="R428" i="1"/>
  <c r="S428" i="1" s="1"/>
  <c r="P428" i="1"/>
  <c r="Q428" i="1" s="1"/>
  <c r="N428" i="1"/>
  <c r="O428" i="1" s="1"/>
  <c r="L428" i="1"/>
  <c r="M428" i="1" s="1"/>
  <c r="K428" i="1"/>
  <c r="U427" i="1"/>
  <c r="R427" i="1"/>
  <c r="S427" i="1" s="1"/>
  <c r="P427" i="1"/>
  <c r="Q427" i="1" s="1"/>
  <c r="N427" i="1"/>
  <c r="O427" i="1" s="1"/>
  <c r="L427" i="1"/>
  <c r="M427" i="1" s="1"/>
  <c r="K427" i="1"/>
  <c r="U426" i="1"/>
  <c r="R426" i="1"/>
  <c r="S426" i="1" s="1"/>
  <c r="P426" i="1"/>
  <c r="Q426" i="1" s="1"/>
  <c r="N426" i="1"/>
  <c r="O426" i="1" s="1"/>
  <c r="L426" i="1"/>
  <c r="M426" i="1" s="1"/>
  <c r="K426" i="1"/>
  <c r="U425" i="1"/>
  <c r="R425" i="1"/>
  <c r="S425" i="1" s="1"/>
  <c r="P425" i="1"/>
  <c r="Q425" i="1" s="1"/>
  <c r="N425" i="1"/>
  <c r="O425" i="1" s="1"/>
  <c r="L425" i="1"/>
  <c r="M425" i="1" s="1"/>
  <c r="K425" i="1"/>
  <c r="U424" i="1"/>
  <c r="R424" i="1"/>
  <c r="S424" i="1" s="1"/>
  <c r="P424" i="1"/>
  <c r="N424" i="1"/>
  <c r="L424" i="1"/>
  <c r="K424" i="1"/>
  <c r="U423" i="1"/>
  <c r="R423" i="1"/>
  <c r="S423" i="1" s="1"/>
  <c r="P423" i="1"/>
  <c r="Q423" i="1" s="1"/>
  <c r="N423" i="1"/>
  <c r="O423" i="1" s="1"/>
  <c r="L423" i="1"/>
  <c r="M423" i="1" s="1"/>
  <c r="K423" i="1"/>
  <c r="U421" i="1"/>
  <c r="R421" i="1"/>
  <c r="S421" i="1" s="1"/>
  <c r="P421" i="1"/>
  <c r="Q421" i="1" s="1"/>
  <c r="N421" i="1"/>
  <c r="O421" i="1" s="1"/>
  <c r="L421" i="1"/>
  <c r="M421" i="1" s="1"/>
  <c r="K421" i="1"/>
  <c r="U420" i="1"/>
  <c r="R420" i="1"/>
  <c r="S420" i="1" s="1"/>
  <c r="P420" i="1"/>
  <c r="Q420" i="1" s="1"/>
  <c r="N420" i="1"/>
  <c r="O420" i="1" s="1"/>
  <c r="L420" i="1"/>
  <c r="M420" i="1" s="1"/>
  <c r="K420" i="1"/>
  <c r="U419" i="1"/>
  <c r="R419" i="1"/>
  <c r="S419" i="1" s="1"/>
  <c r="P419" i="1"/>
  <c r="Q419" i="1" s="1"/>
  <c r="N419" i="1"/>
  <c r="O419" i="1" s="1"/>
  <c r="L419" i="1"/>
  <c r="M419" i="1" s="1"/>
  <c r="K419" i="1"/>
  <c r="U418" i="1"/>
  <c r="R418" i="1"/>
  <c r="S418" i="1" s="1"/>
  <c r="P418" i="1"/>
  <c r="Q418" i="1" s="1"/>
  <c r="N418" i="1"/>
  <c r="O418" i="1" s="1"/>
  <c r="L418" i="1"/>
  <c r="M418" i="1" s="1"/>
  <c r="K418" i="1"/>
  <c r="U417" i="1"/>
  <c r="R417" i="1"/>
  <c r="S417" i="1" s="1"/>
  <c r="P417" i="1"/>
  <c r="Q417" i="1" s="1"/>
  <c r="N417" i="1"/>
  <c r="O417" i="1" s="1"/>
  <c r="L417" i="1"/>
  <c r="M417" i="1" s="1"/>
  <c r="K417" i="1"/>
  <c r="U416" i="1"/>
  <c r="R416" i="1"/>
  <c r="S416" i="1" s="1"/>
  <c r="P416" i="1"/>
  <c r="Q416" i="1" s="1"/>
  <c r="N416" i="1"/>
  <c r="O416" i="1" s="1"/>
  <c r="L416" i="1"/>
  <c r="M416" i="1" s="1"/>
  <c r="K416" i="1"/>
  <c r="U415" i="1"/>
  <c r="R415" i="1"/>
  <c r="S415" i="1" s="1"/>
  <c r="P415" i="1"/>
  <c r="Q415" i="1" s="1"/>
  <c r="N415" i="1"/>
  <c r="O415" i="1" s="1"/>
  <c r="L415" i="1"/>
  <c r="M415" i="1" s="1"/>
  <c r="K415" i="1"/>
  <c r="U414" i="1"/>
  <c r="R414" i="1"/>
  <c r="S414" i="1" s="1"/>
  <c r="P414" i="1"/>
  <c r="Q414" i="1" s="1"/>
  <c r="N414" i="1"/>
  <c r="O414" i="1" s="1"/>
  <c r="L414" i="1"/>
  <c r="M414" i="1" s="1"/>
  <c r="K414" i="1"/>
  <c r="U413" i="1"/>
  <c r="R413" i="1"/>
  <c r="S413" i="1" s="1"/>
  <c r="P413" i="1"/>
  <c r="Q413" i="1" s="1"/>
  <c r="N413" i="1"/>
  <c r="O413" i="1" s="1"/>
  <c r="L413" i="1"/>
  <c r="M413" i="1" s="1"/>
  <c r="K413" i="1"/>
  <c r="U412" i="1"/>
  <c r="R412" i="1"/>
  <c r="S412" i="1" s="1"/>
  <c r="P412" i="1"/>
  <c r="Q412" i="1" s="1"/>
  <c r="N412" i="1"/>
  <c r="O412" i="1" s="1"/>
  <c r="L412" i="1"/>
  <c r="M412" i="1" s="1"/>
  <c r="K412" i="1"/>
  <c r="U411" i="1"/>
  <c r="R411" i="1"/>
  <c r="S411" i="1" s="1"/>
  <c r="P411" i="1"/>
  <c r="Q411" i="1" s="1"/>
  <c r="N411" i="1"/>
  <c r="O411" i="1" s="1"/>
  <c r="L411" i="1"/>
  <c r="M411" i="1" s="1"/>
  <c r="K411" i="1"/>
  <c r="U409" i="1"/>
  <c r="R409" i="1"/>
  <c r="S409" i="1" s="1"/>
  <c r="P409" i="1"/>
  <c r="Q409" i="1" s="1"/>
  <c r="N409" i="1"/>
  <c r="O409" i="1" s="1"/>
  <c r="L409" i="1"/>
  <c r="M409" i="1" s="1"/>
  <c r="K409" i="1"/>
  <c r="U408" i="1"/>
  <c r="R408" i="1"/>
  <c r="S408" i="1" s="1"/>
  <c r="P408" i="1"/>
  <c r="Q408" i="1" s="1"/>
  <c r="N408" i="1"/>
  <c r="O408" i="1" s="1"/>
  <c r="L408" i="1"/>
  <c r="M408" i="1" s="1"/>
  <c r="K408" i="1"/>
  <c r="U407" i="1"/>
  <c r="R407" i="1"/>
  <c r="S407" i="1" s="1"/>
  <c r="P407" i="1"/>
  <c r="Q407" i="1" s="1"/>
  <c r="N407" i="1"/>
  <c r="O407" i="1" s="1"/>
  <c r="L407" i="1"/>
  <c r="M407" i="1" s="1"/>
  <c r="K407" i="1"/>
  <c r="U406" i="1"/>
  <c r="R406" i="1"/>
  <c r="S406" i="1" s="1"/>
  <c r="P406" i="1"/>
  <c r="Q406" i="1" s="1"/>
  <c r="N406" i="1"/>
  <c r="O406" i="1" s="1"/>
  <c r="L406" i="1"/>
  <c r="M406" i="1" s="1"/>
  <c r="K406" i="1"/>
  <c r="U404" i="1"/>
  <c r="R404" i="1"/>
  <c r="S404" i="1" s="1"/>
  <c r="P404" i="1"/>
  <c r="Q404" i="1" s="1"/>
  <c r="N404" i="1"/>
  <c r="O404" i="1" s="1"/>
  <c r="L404" i="1"/>
  <c r="M404" i="1" s="1"/>
  <c r="K404" i="1"/>
  <c r="U403" i="1"/>
  <c r="R403" i="1"/>
  <c r="S403" i="1" s="1"/>
  <c r="P403" i="1"/>
  <c r="Q403" i="1" s="1"/>
  <c r="N403" i="1"/>
  <c r="O403" i="1" s="1"/>
  <c r="L403" i="1"/>
  <c r="M403" i="1" s="1"/>
  <c r="K403" i="1"/>
  <c r="U402" i="1"/>
  <c r="R402" i="1"/>
  <c r="S402" i="1" s="1"/>
  <c r="P402" i="1"/>
  <c r="Q402" i="1" s="1"/>
  <c r="N402" i="1"/>
  <c r="O402" i="1" s="1"/>
  <c r="L402" i="1"/>
  <c r="M402" i="1" s="1"/>
  <c r="K402" i="1"/>
  <c r="U401" i="1"/>
  <c r="R401" i="1"/>
  <c r="S401" i="1" s="1"/>
  <c r="P401" i="1"/>
  <c r="Q401" i="1" s="1"/>
  <c r="N401" i="1"/>
  <c r="O401" i="1" s="1"/>
  <c r="L401" i="1"/>
  <c r="M401" i="1" s="1"/>
  <c r="K401" i="1"/>
  <c r="U400" i="1"/>
  <c r="R400" i="1"/>
  <c r="S400" i="1" s="1"/>
  <c r="P400" i="1"/>
  <c r="Q400" i="1" s="1"/>
  <c r="N400" i="1"/>
  <c r="O400" i="1" s="1"/>
  <c r="L400" i="1"/>
  <c r="M400" i="1" s="1"/>
  <c r="K400" i="1"/>
  <c r="U399" i="1"/>
  <c r="R399" i="1"/>
  <c r="S399" i="1" s="1"/>
  <c r="P399" i="1"/>
  <c r="Q399" i="1" s="1"/>
  <c r="N399" i="1"/>
  <c r="O399" i="1" s="1"/>
  <c r="L399" i="1"/>
  <c r="M399" i="1" s="1"/>
  <c r="K399" i="1"/>
  <c r="U398" i="1"/>
  <c r="R398" i="1"/>
  <c r="S398" i="1" s="1"/>
  <c r="P398" i="1"/>
  <c r="Q398" i="1" s="1"/>
  <c r="N398" i="1"/>
  <c r="O398" i="1" s="1"/>
  <c r="L398" i="1"/>
  <c r="M398" i="1" s="1"/>
  <c r="K398" i="1"/>
  <c r="U396" i="1"/>
  <c r="R396" i="1"/>
  <c r="S396" i="1" s="1"/>
  <c r="P396" i="1"/>
  <c r="Q396" i="1" s="1"/>
  <c r="N396" i="1"/>
  <c r="O396" i="1" s="1"/>
  <c r="L396" i="1"/>
  <c r="M396" i="1" s="1"/>
  <c r="K396" i="1"/>
  <c r="U395" i="1"/>
  <c r="R395" i="1"/>
  <c r="S395" i="1" s="1"/>
  <c r="P395" i="1"/>
  <c r="Q395" i="1" s="1"/>
  <c r="N395" i="1"/>
  <c r="O395" i="1" s="1"/>
  <c r="L395" i="1"/>
  <c r="M395" i="1" s="1"/>
  <c r="K395" i="1"/>
  <c r="U394" i="1"/>
  <c r="R394" i="1"/>
  <c r="S394" i="1" s="1"/>
  <c r="P394" i="1"/>
  <c r="Q394" i="1" s="1"/>
  <c r="N394" i="1"/>
  <c r="O394" i="1" s="1"/>
  <c r="L394" i="1"/>
  <c r="M394" i="1" s="1"/>
  <c r="K394" i="1"/>
  <c r="U392" i="1"/>
  <c r="R392" i="1"/>
  <c r="S392" i="1" s="1"/>
  <c r="P392" i="1"/>
  <c r="Q392" i="1" s="1"/>
  <c r="N392" i="1"/>
  <c r="O392" i="1" s="1"/>
  <c r="L392" i="1"/>
  <c r="M392" i="1" s="1"/>
  <c r="K392" i="1"/>
  <c r="U387" i="1"/>
  <c r="R387" i="1"/>
  <c r="S387" i="1" s="1"/>
  <c r="P387" i="1"/>
  <c r="Q387" i="1" s="1"/>
  <c r="N387" i="1"/>
  <c r="O387" i="1" s="1"/>
  <c r="L387" i="1"/>
  <c r="M387" i="1" s="1"/>
  <c r="K387" i="1"/>
  <c r="U386" i="1"/>
  <c r="R386" i="1"/>
  <c r="S386" i="1" s="1"/>
  <c r="P386" i="1"/>
  <c r="Q386" i="1" s="1"/>
  <c r="N386" i="1"/>
  <c r="O386" i="1" s="1"/>
  <c r="L386" i="1"/>
  <c r="M386" i="1" s="1"/>
  <c r="K386" i="1"/>
  <c r="U385" i="1"/>
  <c r="R385" i="1"/>
  <c r="S385" i="1" s="1"/>
  <c r="P385" i="1"/>
  <c r="Q385" i="1" s="1"/>
  <c r="N385" i="1"/>
  <c r="O385" i="1" s="1"/>
  <c r="L385" i="1"/>
  <c r="M385" i="1" s="1"/>
  <c r="K385" i="1"/>
  <c r="U384" i="1"/>
  <c r="R384" i="1"/>
  <c r="S384" i="1" s="1"/>
  <c r="P384" i="1"/>
  <c r="Q384" i="1" s="1"/>
  <c r="N384" i="1"/>
  <c r="O384" i="1" s="1"/>
  <c r="L384" i="1"/>
  <c r="M384" i="1" s="1"/>
  <c r="K384" i="1"/>
  <c r="U383" i="1"/>
  <c r="R383" i="1"/>
  <c r="S383" i="1" s="1"/>
  <c r="P383" i="1"/>
  <c r="Q383" i="1" s="1"/>
  <c r="N383" i="1"/>
  <c r="O383" i="1" s="1"/>
  <c r="L383" i="1"/>
  <c r="M383" i="1" s="1"/>
  <c r="K383" i="1"/>
  <c r="U381" i="1"/>
  <c r="R381" i="1"/>
  <c r="S381" i="1" s="1"/>
  <c r="P381" i="1"/>
  <c r="Q381" i="1" s="1"/>
  <c r="N381" i="1"/>
  <c r="O381" i="1" s="1"/>
  <c r="L381" i="1"/>
  <c r="M381" i="1" s="1"/>
  <c r="K381" i="1"/>
  <c r="U380" i="1"/>
  <c r="R380" i="1"/>
  <c r="S380" i="1" s="1"/>
  <c r="P380" i="1"/>
  <c r="Q380" i="1" s="1"/>
  <c r="N380" i="1"/>
  <c r="O380" i="1" s="1"/>
  <c r="L380" i="1"/>
  <c r="M380" i="1" s="1"/>
  <c r="K380" i="1"/>
  <c r="U379" i="1"/>
  <c r="R379" i="1"/>
  <c r="S379" i="1" s="1"/>
  <c r="P379" i="1"/>
  <c r="Q379" i="1" s="1"/>
  <c r="N379" i="1"/>
  <c r="O379" i="1" s="1"/>
  <c r="L379" i="1"/>
  <c r="M379" i="1" s="1"/>
  <c r="K379" i="1"/>
  <c r="U378" i="1"/>
  <c r="R378" i="1"/>
  <c r="S378" i="1" s="1"/>
  <c r="P378" i="1"/>
  <c r="Q378" i="1" s="1"/>
  <c r="N378" i="1"/>
  <c r="O378" i="1" s="1"/>
  <c r="L378" i="1"/>
  <c r="M378" i="1" s="1"/>
  <c r="K378" i="1"/>
  <c r="U377" i="1"/>
  <c r="R377" i="1"/>
  <c r="S377" i="1" s="1"/>
  <c r="P377" i="1"/>
  <c r="Q377" i="1" s="1"/>
  <c r="N377" i="1"/>
  <c r="O377" i="1" s="1"/>
  <c r="L377" i="1"/>
  <c r="M377" i="1" s="1"/>
  <c r="K377" i="1"/>
  <c r="U376" i="1"/>
  <c r="R376" i="1"/>
  <c r="S376" i="1" s="1"/>
  <c r="P376" i="1"/>
  <c r="Q376" i="1" s="1"/>
  <c r="N376" i="1"/>
  <c r="O376" i="1" s="1"/>
  <c r="L376" i="1"/>
  <c r="M376" i="1" s="1"/>
  <c r="K376" i="1"/>
  <c r="U373" i="1"/>
  <c r="R373" i="1"/>
  <c r="S373" i="1" s="1"/>
  <c r="P373" i="1"/>
  <c r="Q373" i="1" s="1"/>
  <c r="N373" i="1"/>
  <c r="O373" i="1" s="1"/>
  <c r="L373" i="1"/>
  <c r="M373" i="1" s="1"/>
  <c r="K373" i="1"/>
  <c r="U372" i="1"/>
  <c r="R372" i="1"/>
  <c r="S372" i="1" s="1"/>
  <c r="P372" i="1"/>
  <c r="Q372" i="1" s="1"/>
  <c r="N372" i="1"/>
  <c r="O372" i="1" s="1"/>
  <c r="L372" i="1"/>
  <c r="M372" i="1" s="1"/>
  <c r="K372" i="1"/>
  <c r="R371" i="1"/>
  <c r="S371" i="1" s="1"/>
  <c r="P371" i="1"/>
  <c r="Q371" i="1" s="1"/>
  <c r="N371" i="1"/>
  <c r="O371" i="1" s="1"/>
  <c r="L371" i="1"/>
  <c r="M371" i="1" s="1"/>
  <c r="K371" i="1"/>
  <c r="U370" i="1"/>
  <c r="R370" i="1"/>
  <c r="S370" i="1" s="1"/>
  <c r="P370" i="1"/>
  <c r="Q370" i="1" s="1"/>
  <c r="N370" i="1"/>
  <c r="O370" i="1" s="1"/>
  <c r="L370" i="1"/>
  <c r="M370" i="1" s="1"/>
  <c r="K370" i="1"/>
  <c r="U369" i="1"/>
  <c r="R369" i="1"/>
  <c r="S369" i="1" s="1"/>
  <c r="P369" i="1"/>
  <c r="Q369" i="1" s="1"/>
  <c r="N369" i="1"/>
  <c r="O369" i="1" s="1"/>
  <c r="L369" i="1"/>
  <c r="M369" i="1" s="1"/>
  <c r="K369" i="1"/>
  <c r="U368" i="1"/>
  <c r="R368" i="1"/>
  <c r="S368" i="1" s="1"/>
  <c r="P368" i="1"/>
  <c r="Q368" i="1" s="1"/>
  <c r="N368" i="1"/>
  <c r="O368" i="1" s="1"/>
  <c r="L368" i="1"/>
  <c r="M368" i="1" s="1"/>
  <c r="K368" i="1"/>
  <c r="U365" i="1"/>
  <c r="R365" i="1"/>
  <c r="S365" i="1" s="1"/>
  <c r="P365" i="1"/>
  <c r="Q365" i="1" s="1"/>
  <c r="N365" i="1"/>
  <c r="O365" i="1" s="1"/>
  <c r="L365" i="1"/>
  <c r="M365" i="1" s="1"/>
  <c r="K365" i="1"/>
  <c r="U363" i="1"/>
  <c r="R363" i="1"/>
  <c r="S363" i="1" s="1"/>
  <c r="P363" i="1"/>
  <c r="Q363" i="1" s="1"/>
  <c r="N363" i="1"/>
  <c r="O363" i="1" s="1"/>
  <c r="L363" i="1"/>
  <c r="M363" i="1" s="1"/>
  <c r="K363" i="1"/>
  <c r="U362" i="1"/>
  <c r="R362" i="1"/>
  <c r="S362" i="1" s="1"/>
  <c r="P362" i="1"/>
  <c r="Q362" i="1" s="1"/>
  <c r="N362" i="1"/>
  <c r="O362" i="1" s="1"/>
  <c r="L362" i="1"/>
  <c r="M362" i="1" s="1"/>
  <c r="K362" i="1"/>
  <c r="U360" i="1"/>
  <c r="R360" i="1"/>
  <c r="S360" i="1" s="1"/>
  <c r="P360" i="1"/>
  <c r="Q360" i="1" s="1"/>
  <c r="N360" i="1"/>
  <c r="O360" i="1" s="1"/>
  <c r="L360" i="1"/>
  <c r="M360" i="1" s="1"/>
  <c r="K360" i="1"/>
  <c r="U359" i="1"/>
  <c r="R359" i="1"/>
  <c r="S359" i="1" s="1"/>
  <c r="P359" i="1"/>
  <c r="Q359" i="1" s="1"/>
  <c r="N359" i="1"/>
  <c r="O359" i="1" s="1"/>
  <c r="L359" i="1"/>
  <c r="M359" i="1" s="1"/>
  <c r="K359" i="1"/>
  <c r="U357" i="1"/>
  <c r="R357" i="1"/>
  <c r="S357" i="1" s="1"/>
  <c r="P357" i="1"/>
  <c r="Q357" i="1" s="1"/>
  <c r="N357" i="1"/>
  <c r="O357" i="1" s="1"/>
  <c r="L357" i="1"/>
  <c r="M357" i="1" s="1"/>
  <c r="K357" i="1"/>
  <c r="U356" i="1"/>
  <c r="R356" i="1"/>
  <c r="S356" i="1" s="1"/>
  <c r="P356" i="1"/>
  <c r="Q356" i="1" s="1"/>
  <c r="N356" i="1"/>
  <c r="O356" i="1" s="1"/>
  <c r="L356" i="1"/>
  <c r="M356" i="1" s="1"/>
  <c r="K356" i="1"/>
  <c r="U355" i="1"/>
  <c r="R355" i="1"/>
  <c r="S355" i="1" s="1"/>
  <c r="P355" i="1"/>
  <c r="Q355" i="1" s="1"/>
  <c r="N355" i="1"/>
  <c r="O355" i="1" s="1"/>
  <c r="L355" i="1"/>
  <c r="M355" i="1" s="1"/>
  <c r="K355" i="1"/>
  <c r="U354" i="1"/>
  <c r="R354" i="1"/>
  <c r="S354" i="1" s="1"/>
  <c r="P354" i="1"/>
  <c r="Q354" i="1" s="1"/>
  <c r="N354" i="1"/>
  <c r="O354" i="1" s="1"/>
  <c r="L354" i="1"/>
  <c r="M354" i="1" s="1"/>
  <c r="K354" i="1"/>
  <c r="U353" i="1"/>
  <c r="R353" i="1"/>
  <c r="S353" i="1" s="1"/>
  <c r="P353" i="1"/>
  <c r="Q353" i="1" s="1"/>
  <c r="N353" i="1"/>
  <c r="O353" i="1" s="1"/>
  <c r="L353" i="1"/>
  <c r="M353" i="1" s="1"/>
  <c r="K353" i="1"/>
  <c r="U352" i="1"/>
  <c r="R352" i="1"/>
  <c r="S352" i="1" s="1"/>
  <c r="P352" i="1"/>
  <c r="Q352" i="1" s="1"/>
  <c r="N352" i="1"/>
  <c r="O352" i="1" s="1"/>
  <c r="L352" i="1"/>
  <c r="M352" i="1" s="1"/>
  <c r="K352" i="1"/>
  <c r="U351" i="1"/>
  <c r="R351" i="1"/>
  <c r="S351" i="1" s="1"/>
  <c r="P351" i="1"/>
  <c r="Q351" i="1" s="1"/>
  <c r="N351" i="1"/>
  <c r="O351" i="1" s="1"/>
  <c r="L351" i="1"/>
  <c r="M351" i="1" s="1"/>
  <c r="K351" i="1"/>
  <c r="U350" i="1"/>
  <c r="R350" i="1"/>
  <c r="S350" i="1" s="1"/>
  <c r="P350" i="1"/>
  <c r="Q350" i="1" s="1"/>
  <c r="N350" i="1"/>
  <c r="O350" i="1" s="1"/>
  <c r="L350" i="1"/>
  <c r="M350" i="1" s="1"/>
  <c r="K350" i="1"/>
  <c r="U349" i="1"/>
  <c r="R349" i="1"/>
  <c r="S349" i="1" s="1"/>
  <c r="P349" i="1"/>
  <c r="Q349" i="1" s="1"/>
  <c r="N349" i="1"/>
  <c r="O349" i="1" s="1"/>
  <c r="L349" i="1"/>
  <c r="M349" i="1" s="1"/>
  <c r="K349" i="1"/>
  <c r="U348" i="1"/>
  <c r="R348" i="1"/>
  <c r="S348" i="1" s="1"/>
  <c r="P348" i="1"/>
  <c r="Q348" i="1" s="1"/>
  <c r="N348" i="1"/>
  <c r="O348" i="1" s="1"/>
  <c r="L348" i="1"/>
  <c r="M348" i="1" s="1"/>
  <c r="K348" i="1"/>
  <c r="U347" i="1"/>
  <c r="R347" i="1"/>
  <c r="S347" i="1" s="1"/>
  <c r="P347" i="1"/>
  <c r="Q347" i="1" s="1"/>
  <c r="N347" i="1"/>
  <c r="O347" i="1" s="1"/>
  <c r="L347" i="1"/>
  <c r="M347" i="1" s="1"/>
  <c r="K347" i="1"/>
  <c r="U346" i="1"/>
  <c r="R346" i="1"/>
  <c r="S346" i="1" s="1"/>
  <c r="P346" i="1"/>
  <c r="Q346" i="1" s="1"/>
  <c r="N346" i="1"/>
  <c r="O346" i="1" s="1"/>
  <c r="L346" i="1"/>
  <c r="M346" i="1" s="1"/>
  <c r="K346" i="1"/>
  <c r="U345" i="1"/>
  <c r="R345" i="1"/>
  <c r="S345" i="1" s="1"/>
  <c r="P345" i="1"/>
  <c r="Q345" i="1" s="1"/>
  <c r="N345" i="1"/>
  <c r="O345" i="1" s="1"/>
  <c r="L345" i="1"/>
  <c r="M345" i="1" s="1"/>
  <c r="K345" i="1"/>
  <c r="U344" i="1"/>
  <c r="R344" i="1"/>
  <c r="S344" i="1" s="1"/>
  <c r="P344" i="1"/>
  <c r="Q344" i="1" s="1"/>
  <c r="N344" i="1"/>
  <c r="O344" i="1" s="1"/>
  <c r="L344" i="1"/>
  <c r="M344" i="1" s="1"/>
  <c r="K344" i="1"/>
  <c r="U343" i="1"/>
  <c r="R343" i="1"/>
  <c r="S343" i="1" s="1"/>
  <c r="P343" i="1"/>
  <c r="Q343" i="1" s="1"/>
  <c r="N343" i="1"/>
  <c r="O343" i="1" s="1"/>
  <c r="L343" i="1"/>
  <c r="M343" i="1" s="1"/>
  <c r="K343" i="1"/>
  <c r="U342" i="1"/>
  <c r="R342" i="1"/>
  <c r="S342" i="1" s="1"/>
  <c r="P342" i="1"/>
  <c r="Q342" i="1" s="1"/>
  <c r="N342" i="1"/>
  <c r="O342" i="1" s="1"/>
  <c r="L342" i="1"/>
  <c r="M342" i="1" s="1"/>
  <c r="K342" i="1"/>
  <c r="U341" i="1"/>
  <c r="R341" i="1"/>
  <c r="S341" i="1" s="1"/>
  <c r="P341" i="1"/>
  <c r="Q341" i="1" s="1"/>
  <c r="N341" i="1"/>
  <c r="O341" i="1" s="1"/>
  <c r="L341" i="1"/>
  <c r="M341" i="1" s="1"/>
  <c r="K341" i="1"/>
  <c r="U339" i="1"/>
  <c r="R339" i="1"/>
  <c r="S339" i="1" s="1"/>
  <c r="P339" i="1"/>
  <c r="Q339" i="1" s="1"/>
  <c r="N339" i="1"/>
  <c r="O339" i="1" s="1"/>
  <c r="L339" i="1"/>
  <c r="M339" i="1" s="1"/>
  <c r="K339" i="1"/>
  <c r="U338" i="1"/>
  <c r="R338" i="1"/>
  <c r="S338" i="1" s="1"/>
  <c r="P338" i="1"/>
  <c r="Q338" i="1" s="1"/>
  <c r="N338" i="1"/>
  <c r="O338" i="1" s="1"/>
  <c r="L338" i="1"/>
  <c r="M338" i="1" s="1"/>
  <c r="K338" i="1"/>
  <c r="U337" i="1"/>
  <c r="R337" i="1"/>
  <c r="S337" i="1" s="1"/>
  <c r="P337" i="1"/>
  <c r="Q337" i="1" s="1"/>
  <c r="N337" i="1"/>
  <c r="O337" i="1" s="1"/>
  <c r="L337" i="1"/>
  <c r="M337" i="1" s="1"/>
  <c r="K337" i="1"/>
  <c r="U336" i="1"/>
  <c r="R336" i="1"/>
  <c r="S336" i="1" s="1"/>
  <c r="P336" i="1"/>
  <c r="Q336" i="1" s="1"/>
  <c r="N336" i="1"/>
  <c r="O336" i="1" s="1"/>
  <c r="L336" i="1"/>
  <c r="M336" i="1" s="1"/>
  <c r="K336" i="1"/>
  <c r="U335" i="1"/>
  <c r="R335" i="1"/>
  <c r="S335" i="1" s="1"/>
  <c r="P335" i="1"/>
  <c r="Q335" i="1" s="1"/>
  <c r="N335" i="1"/>
  <c r="O335" i="1" s="1"/>
  <c r="L335" i="1"/>
  <c r="M335" i="1" s="1"/>
  <c r="K335" i="1"/>
  <c r="U333" i="1"/>
  <c r="R333" i="1"/>
  <c r="S333" i="1" s="1"/>
  <c r="P333" i="1"/>
  <c r="Q333" i="1" s="1"/>
  <c r="N333" i="1"/>
  <c r="O333" i="1" s="1"/>
  <c r="L333" i="1"/>
  <c r="M333" i="1" s="1"/>
  <c r="K333" i="1"/>
  <c r="U332" i="1"/>
  <c r="R332" i="1"/>
  <c r="S332" i="1" s="1"/>
  <c r="P332" i="1"/>
  <c r="Q332" i="1" s="1"/>
  <c r="N332" i="1"/>
  <c r="O332" i="1" s="1"/>
  <c r="L332" i="1"/>
  <c r="M332" i="1" s="1"/>
  <c r="K332" i="1"/>
  <c r="U331" i="1"/>
  <c r="R331" i="1"/>
  <c r="S331" i="1" s="1"/>
  <c r="P331" i="1"/>
  <c r="Q331" i="1" s="1"/>
  <c r="N331" i="1"/>
  <c r="O331" i="1" s="1"/>
  <c r="L331" i="1"/>
  <c r="M331" i="1" s="1"/>
  <c r="K331" i="1"/>
  <c r="U330" i="1"/>
  <c r="R330" i="1"/>
  <c r="S330" i="1" s="1"/>
  <c r="P330" i="1"/>
  <c r="Q330" i="1" s="1"/>
  <c r="N330" i="1"/>
  <c r="O330" i="1" s="1"/>
  <c r="L330" i="1"/>
  <c r="M330" i="1" s="1"/>
  <c r="K330" i="1"/>
  <c r="U329" i="1"/>
  <c r="R329" i="1"/>
  <c r="S329" i="1" s="1"/>
  <c r="P329" i="1"/>
  <c r="Q329" i="1" s="1"/>
  <c r="N329" i="1"/>
  <c r="O329" i="1" s="1"/>
  <c r="L329" i="1"/>
  <c r="M329" i="1" s="1"/>
  <c r="K329" i="1"/>
  <c r="U328" i="1"/>
  <c r="R328" i="1"/>
  <c r="S328" i="1" s="1"/>
  <c r="P328" i="1"/>
  <c r="Q328" i="1" s="1"/>
  <c r="N328" i="1"/>
  <c r="O328" i="1" s="1"/>
  <c r="L328" i="1"/>
  <c r="M328" i="1" s="1"/>
  <c r="K328" i="1"/>
  <c r="U327" i="1"/>
  <c r="R327" i="1"/>
  <c r="S327" i="1" s="1"/>
  <c r="P327" i="1"/>
  <c r="Q327" i="1" s="1"/>
  <c r="N327" i="1"/>
  <c r="O327" i="1" s="1"/>
  <c r="L327" i="1"/>
  <c r="M327" i="1" s="1"/>
  <c r="K327" i="1"/>
  <c r="U326" i="1"/>
  <c r="R326" i="1"/>
  <c r="S326" i="1" s="1"/>
  <c r="P326" i="1"/>
  <c r="Q326" i="1" s="1"/>
  <c r="N326" i="1"/>
  <c r="O326" i="1" s="1"/>
  <c r="L326" i="1"/>
  <c r="M326" i="1" s="1"/>
  <c r="K326" i="1"/>
  <c r="U325" i="1"/>
  <c r="R325" i="1"/>
  <c r="S325" i="1" s="1"/>
  <c r="P325" i="1"/>
  <c r="Q325" i="1" s="1"/>
  <c r="N325" i="1"/>
  <c r="O325" i="1" s="1"/>
  <c r="L325" i="1"/>
  <c r="M325" i="1" s="1"/>
  <c r="K325" i="1"/>
  <c r="U324" i="1"/>
  <c r="R324" i="1"/>
  <c r="S324" i="1" s="1"/>
  <c r="P324" i="1"/>
  <c r="Q324" i="1" s="1"/>
  <c r="N324" i="1"/>
  <c r="O324" i="1" s="1"/>
  <c r="L324" i="1"/>
  <c r="M324" i="1" s="1"/>
  <c r="K324" i="1"/>
  <c r="U323" i="1"/>
  <c r="R323" i="1"/>
  <c r="S323" i="1" s="1"/>
  <c r="P323" i="1"/>
  <c r="Q323" i="1" s="1"/>
  <c r="N323" i="1"/>
  <c r="O323" i="1" s="1"/>
  <c r="L323" i="1"/>
  <c r="M323" i="1" s="1"/>
  <c r="K323" i="1"/>
  <c r="U322" i="1"/>
  <c r="R322" i="1"/>
  <c r="S322" i="1" s="1"/>
  <c r="P322" i="1"/>
  <c r="Q322" i="1" s="1"/>
  <c r="N322" i="1"/>
  <c r="O322" i="1" s="1"/>
  <c r="L322" i="1"/>
  <c r="M322" i="1" s="1"/>
  <c r="K322" i="1"/>
  <c r="U321" i="1"/>
  <c r="R321" i="1"/>
  <c r="S321" i="1" s="1"/>
  <c r="P321" i="1"/>
  <c r="Q321" i="1" s="1"/>
  <c r="N321" i="1"/>
  <c r="O321" i="1" s="1"/>
  <c r="L321" i="1"/>
  <c r="M321" i="1" s="1"/>
  <c r="K321" i="1"/>
  <c r="U320" i="1"/>
  <c r="R320" i="1"/>
  <c r="S320" i="1" s="1"/>
  <c r="P320" i="1"/>
  <c r="Q320" i="1" s="1"/>
  <c r="N320" i="1"/>
  <c r="O320" i="1" s="1"/>
  <c r="L320" i="1"/>
  <c r="M320" i="1" s="1"/>
  <c r="K320" i="1"/>
  <c r="U319" i="1"/>
  <c r="R319" i="1"/>
  <c r="S319" i="1" s="1"/>
  <c r="P319" i="1"/>
  <c r="Q319" i="1" s="1"/>
  <c r="N319" i="1"/>
  <c r="O319" i="1" s="1"/>
  <c r="L319" i="1"/>
  <c r="M319" i="1" s="1"/>
  <c r="K319" i="1"/>
  <c r="U318" i="1"/>
  <c r="R318" i="1"/>
  <c r="S318" i="1" s="1"/>
  <c r="P318" i="1"/>
  <c r="Q318" i="1" s="1"/>
  <c r="N318" i="1"/>
  <c r="O318" i="1" s="1"/>
  <c r="L318" i="1"/>
  <c r="M318" i="1" s="1"/>
  <c r="K318" i="1"/>
  <c r="U317" i="1"/>
  <c r="R317" i="1"/>
  <c r="S317" i="1" s="1"/>
  <c r="P317" i="1"/>
  <c r="Q317" i="1" s="1"/>
  <c r="N317" i="1"/>
  <c r="O317" i="1" s="1"/>
  <c r="L317" i="1"/>
  <c r="M317" i="1" s="1"/>
  <c r="K317" i="1"/>
  <c r="U315" i="1"/>
  <c r="R315" i="1"/>
  <c r="S315" i="1" s="1"/>
  <c r="P315" i="1"/>
  <c r="Q315" i="1" s="1"/>
  <c r="N315" i="1"/>
  <c r="O315" i="1" s="1"/>
  <c r="L315" i="1"/>
  <c r="M315" i="1" s="1"/>
  <c r="K315" i="1"/>
  <c r="U314" i="1"/>
  <c r="R314" i="1"/>
  <c r="S314" i="1" s="1"/>
  <c r="P314" i="1"/>
  <c r="Q314" i="1" s="1"/>
  <c r="N314" i="1"/>
  <c r="O314" i="1" s="1"/>
  <c r="L314" i="1"/>
  <c r="M314" i="1" s="1"/>
  <c r="K314" i="1"/>
  <c r="U313" i="1"/>
  <c r="R313" i="1"/>
  <c r="S313" i="1" s="1"/>
  <c r="P313" i="1"/>
  <c r="Q313" i="1" s="1"/>
  <c r="N313" i="1"/>
  <c r="O313" i="1" s="1"/>
  <c r="L313" i="1"/>
  <c r="M313" i="1" s="1"/>
  <c r="K313" i="1"/>
  <c r="U312" i="1"/>
  <c r="R312" i="1"/>
  <c r="S312" i="1" s="1"/>
  <c r="P312" i="1"/>
  <c r="Q312" i="1" s="1"/>
  <c r="N312" i="1"/>
  <c r="O312" i="1" s="1"/>
  <c r="L312" i="1"/>
  <c r="M312" i="1" s="1"/>
  <c r="K312" i="1"/>
  <c r="U311" i="1"/>
  <c r="R311" i="1"/>
  <c r="S311" i="1" s="1"/>
  <c r="P311" i="1"/>
  <c r="Q311" i="1" s="1"/>
  <c r="N311" i="1"/>
  <c r="O311" i="1" s="1"/>
  <c r="L311" i="1"/>
  <c r="M311" i="1" s="1"/>
  <c r="K311" i="1"/>
  <c r="U310" i="1"/>
  <c r="R310" i="1"/>
  <c r="S310" i="1" s="1"/>
  <c r="P310" i="1"/>
  <c r="Q310" i="1" s="1"/>
  <c r="N310" i="1"/>
  <c r="O310" i="1" s="1"/>
  <c r="L310" i="1"/>
  <c r="M310" i="1" s="1"/>
  <c r="K310" i="1"/>
  <c r="U309" i="1"/>
  <c r="R309" i="1"/>
  <c r="S309" i="1" s="1"/>
  <c r="P309" i="1"/>
  <c r="Q309" i="1" s="1"/>
  <c r="N309" i="1"/>
  <c r="O309" i="1" s="1"/>
  <c r="L309" i="1"/>
  <c r="M309" i="1" s="1"/>
  <c r="K309" i="1"/>
  <c r="U307" i="1"/>
  <c r="R307" i="1"/>
  <c r="S307" i="1" s="1"/>
  <c r="P307" i="1"/>
  <c r="Q307" i="1" s="1"/>
  <c r="N307" i="1"/>
  <c r="O307" i="1" s="1"/>
  <c r="L307" i="1"/>
  <c r="M307" i="1" s="1"/>
  <c r="K307" i="1"/>
  <c r="U306" i="1"/>
  <c r="R306" i="1"/>
  <c r="S306" i="1" s="1"/>
  <c r="P306" i="1"/>
  <c r="Q306" i="1" s="1"/>
  <c r="N306" i="1"/>
  <c r="O306" i="1" s="1"/>
  <c r="L306" i="1"/>
  <c r="M306" i="1" s="1"/>
  <c r="K306" i="1"/>
  <c r="U305" i="1"/>
  <c r="R305" i="1"/>
  <c r="S305" i="1" s="1"/>
  <c r="P305" i="1"/>
  <c r="Q305" i="1" s="1"/>
  <c r="N305" i="1"/>
  <c r="O305" i="1" s="1"/>
  <c r="L305" i="1"/>
  <c r="M305" i="1" s="1"/>
  <c r="K305" i="1"/>
  <c r="R303" i="1"/>
  <c r="S303" i="1" s="1"/>
  <c r="P303" i="1"/>
  <c r="Q303" i="1" s="1"/>
  <c r="N303" i="1"/>
  <c r="O303" i="1" s="1"/>
  <c r="L303" i="1"/>
  <c r="M303" i="1" s="1"/>
  <c r="K303" i="1"/>
  <c r="U302" i="1"/>
  <c r="R302" i="1"/>
  <c r="S302" i="1" s="1"/>
  <c r="P302" i="1"/>
  <c r="Q302" i="1" s="1"/>
  <c r="N302" i="1"/>
  <c r="O302" i="1" s="1"/>
  <c r="L302" i="1"/>
  <c r="M302" i="1" s="1"/>
  <c r="K302" i="1"/>
  <c r="U301" i="1"/>
  <c r="R301" i="1"/>
  <c r="S301" i="1" s="1"/>
  <c r="P301" i="1"/>
  <c r="Q301" i="1" s="1"/>
  <c r="N301" i="1"/>
  <c r="O301" i="1" s="1"/>
  <c r="L301" i="1"/>
  <c r="M301" i="1" s="1"/>
  <c r="K301" i="1"/>
  <c r="U300" i="1"/>
  <c r="R300" i="1"/>
  <c r="S300" i="1" s="1"/>
  <c r="P300" i="1"/>
  <c r="Q300" i="1" s="1"/>
  <c r="N300" i="1"/>
  <c r="O300" i="1" s="1"/>
  <c r="L300" i="1"/>
  <c r="M300" i="1" s="1"/>
  <c r="K300" i="1"/>
  <c r="U299" i="1"/>
  <c r="R299" i="1"/>
  <c r="S299" i="1" s="1"/>
  <c r="P299" i="1"/>
  <c r="Q299" i="1" s="1"/>
  <c r="N299" i="1"/>
  <c r="O299" i="1" s="1"/>
  <c r="L299" i="1"/>
  <c r="M299" i="1" s="1"/>
  <c r="K299" i="1"/>
  <c r="U298" i="1"/>
  <c r="R298" i="1"/>
  <c r="S298" i="1" s="1"/>
  <c r="P298" i="1"/>
  <c r="Q298" i="1" s="1"/>
  <c r="N298" i="1"/>
  <c r="O298" i="1" s="1"/>
  <c r="L298" i="1"/>
  <c r="M298" i="1" s="1"/>
  <c r="K298" i="1"/>
  <c r="U287" i="1"/>
  <c r="R287" i="1"/>
  <c r="S287" i="1" s="1"/>
  <c r="P287" i="1"/>
  <c r="Q287" i="1" s="1"/>
  <c r="N287" i="1"/>
  <c r="O287" i="1" s="1"/>
  <c r="L287" i="1"/>
  <c r="M287" i="1" s="1"/>
  <c r="K287" i="1"/>
  <c r="U279" i="1"/>
  <c r="R279" i="1"/>
  <c r="S279" i="1" s="1"/>
  <c r="P279" i="1"/>
  <c r="Q279" i="1" s="1"/>
  <c r="N279" i="1"/>
  <c r="O279" i="1" s="1"/>
  <c r="L279" i="1"/>
  <c r="M279" i="1" s="1"/>
  <c r="K279" i="1"/>
  <c r="U278" i="1"/>
  <c r="R278" i="1"/>
  <c r="S278" i="1" s="1"/>
  <c r="P278" i="1"/>
  <c r="Q278" i="1" s="1"/>
  <c r="N278" i="1"/>
  <c r="O278" i="1" s="1"/>
  <c r="L278" i="1"/>
  <c r="M278" i="1" s="1"/>
  <c r="K278" i="1"/>
  <c r="U277" i="1"/>
  <c r="R277" i="1"/>
  <c r="S277" i="1" s="1"/>
  <c r="P277" i="1"/>
  <c r="Q277" i="1" s="1"/>
  <c r="N277" i="1"/>
  <c r="O277" i="1" s="1"/>
  <c r="L277" i="1"/>
  <c r="M277" i="1" s="1"/>
  <c r="K277" i="1"/>
  <c r="U275" i="1"/>
  <c r="R275" i="1"/>
  <c r="S275" i="1" s="1"/>
  <c r="P275" i="1"/>
  <c r="Q275" i="1" s="1"/>
  <c r="N275" i="1"/>
  <c r="O275" i="1" s="1"/>
  <c r="L275" i="1"/>
  <c r="M275" i="1" s="1"/>
  <c r="K275" i="1"/>
  <c r="U274" i="1"/>
  <c r="R274" i="1"/>
  <c r="S274" i="1" s="1"/>
  <c r="P274" i="1"/>
  <c r="Q274" i="1" s="1"/>
  <c r="N274" i="1"/>
  <c r="O274" i="1" s="1"/>
  <c r="L274" i="1"/>
  <c r="M274" i="1" s="1"/>
  <c r="K274" i="1"/>
  <c r="U273" i="1"/>
  <c r="R273" i="1"/>
  <c r="S273" i="1" s="1"/>
  <c r="P273" i="1"/>
  <c r="Q273" i="1" s="1"/>
  <c r="N273" i="1"/>
  <c r="O273" i="1" s="1"/>
  <c r="L273" i="1"/>
  <c r="M273" i="1" s="1"/>
  <c r="K273" i="1"/>
  <c r="U272" i="1"/>
  <c r="R272" i="1"/>
  <c r="S272" i="1" s="1"/>
  <c r="P272" i="1"/>
  <c r="Q272" i="1" s="1"/>
  <c r="N272" i="1"/>
  <c r="O272" i="1" s="1"/>
  <c r="L272" i="1"/>
  <c r="M272" i="1" s="1"/>
  <c r="K272" i="1"/>
  <c r="U271" i="1"/>
  <c r="R271" i="1"/>
  <c r="S271" i="1" s="1"/>
  <c r="P271" i="1"/>
  <c r="Q271" i="1" s="1"/>
  <c r="N271" i="1"/>
  <c r="O271" i="1" s="1"/>
  <c r="L271" i="1"/>
  <c r="M271" i="1" s="1"/>
  <c r="K271" i="1"/>
  <c r="U270" i="1"/>
  <c r="R270" i="1"/>
  <c r="S270" i="1" s="1"/>
  <c r="P270" i="1"/>
  <c r="Q270" i="1" s="1"/>
  <c r="N270" i="1"/>
  <c r="O270" i="1" s="1"/>
  <c r="L270" i="1"/>
  <c r="M270" i="1" s="1"/>
  <c r="K270" i="1"/>
  <c r="U268" i="1"/>
  <c r="R268" i="1"/>
  <c r="S268" i="1" s="1"/>
  <c r="P268" i="1"/>
  <c r="Q268" i="1" s="1"/>
  <c r="N268" i="1"/>
  <c r="O268" i="1" s="1"/>
  <c r="L268" i="1"/>
  <c r="M268" i="1" s="1"/>
  <c r="K268" i="1"/>
  <c r="R267" i="1"/>
  <c r="S267" i="1" s="1"/>
  <c r="P267" i="1"/>
  <c r="Q267" i="1" s="1"/>
  <c r="N267" i="1"/>
  <c r="O267" i="1" s="1"/>
  <c r="L267" i="1"/>
  <c r="M267" i="1" s="1"/>
  <c r="K267" i="1"/>
  <c r="U265" i="1"/>
  <c r="R265" i="1"/>
  <c r="S265" i="1" s="1"/>
  <c r="P265" i="1"/>
  <c r="Q265" i="1" s="1"/>
  <c r="N265" i="1"/>
  <c r="O265" i="1" s="1"/>
  <c r="L265" i="1"/>
  <c r="M265" i="1" s="1"/>
  <c r="K265" i="1"/>
  <c r="U264" i="1"/>
  <c r="R264" i="1"/>
  <c r="S264" i="1" s="1"/>
  <c r="P264" i="1"/>
  <c r="Q264" i="1" s="1"/>
  <c r="N264" i="1"/>
  <c r="O264" i="1" s="1"/>
  <c r="L264" i="1"/>
  <c r="M264" i="1" s="1"/>
  <c r="K264" i="1"/>
  <c r="U263" i="1"/>
  <c r="R263" i="1"/>
  <c r="S263" i="1" s="1"/>
  <c r="P263" i="1"/>
  <c r="Q263" i="1" s="1"/>
  <c r="N263" i="1"/>
  <c r="O263" i="1" s="1"/>
  <c r="L263" i="1"/>
  <c r="M263" i="1" s="1"/>
  <c r="K263" i="1"/>
  <c r="U262" i="1"/>
  <c r="R262" i="1"/>
  <c r="S262" i="1" s="1"/>
  <c r="P262" i="1"/>
  <c r="Q262" i="1" s="1"/>
  <c r="N262" i="1"/>
  <c r="O262" i="1" s="1"/>
  <c r="L262" i="1"/>
  <c r="M262" i="1" s="1"/>
  <c r="K262" i="1"/>
  <c r="U261" i="1"/>
  <c r="R261" i="1"/>
  <c r="S261" i="1" s="1"/>
  <c r="P261" i="1"/>
  <c r="Q261" i="1" s="1"/>
  <c r="N261" i="1"/>
  <c r="O261" i="1" s="1"/>
  <c r="L261" i="1"/>
  <c r="M261" i="1" s="1"/>
  <c r="K261" i="1"/>
  <c r="U260" i="1"/>
  <c r="R260" i="1"/>
  <c r="S260" i="1" s="1"/>
  <c r="P260" i="1"/>
  <c r="Q260" i="1" s="1"/>
  <c r="N260" i="1"/>
  <c r="O260" i="1" s="1"/>
  <c r="L260" i="1"/>
  <c r="M260" i="1" s="1"/>
  <c r="K260" i="1"/>
  <c r="U259" i="1"/>
  <c r="R259" i="1"/>
  <c r="S259" i="1" s="1"/>
  <c r="P259" i="1"/>
  <c r="Q259" i="1" s="1"/>
  <c r="N259" i="1"/>
  <c r="O259" i="1" s="1"/>
  <c r="L259" i="1"/>
  <c r="M259" i="1" s="1"/>
  <c r="K259" i="1"/>
  <c r="U258" i="1"/>
  <c r="R258" i="1"/>
  <c r="S258" i="1" s="1"/>
  <c r="P258" i="1"/>
  <c r="Q258" i="1" s="1"/>
  <c r="N258" i="1"/>
  <c r="O258" i="1" s="1"/>
  <c r="L258" i="1"/>
  <c r="M258" i="1" s="1"/>
  <c r="K258" i="1"/>
  <c r="U257" i="1"/>
  <c r="R257" i="1"/>
  <c r="S257" i="1" s="1"/>
  <c r="P257" i="1"/>
  <c r="Q257" i="1" s="1"/>
  <c r="N257" i="1"/>
  <c r="O257" i="1" s="1"/>
  <c r="L257" i="1"/>
  <c r="M257" i="1" s="1"/>
  <c r="K257" i="1"/>
  <c r="U256" i="1"/>
  <c r="R256" i="1"/>
  <c r="S256" i="1" s="1"/>
  <c r="P256" i="1"/>
  <c r="Q256" i="1" s="1"/>
  <c r="N256" i="1"/>
  <c r="O256" i="1" s="1"/>
  <c r="L256" i="1"/>
  <c r="M256" i="1" s="1"/>
  <c r="K256" i="1"/>
  <c r="U255" i="1"/>
  <c r="R255" i="1"/>
  <c r="S255" i="1" s="1"/>
  <c r="P255" i="1"/>
  <c r="Q255" i="1" s="1"/>
  <c r="N255" i="1"/>
  <c r="O255" i="1" s="1"/>
  <c r="L255" i="1"/>
  <c r="M255" i="1" s="1"/>
  <c r="K255" i="1"/>
  <c r="U254" i="1"/>
  <c r="R254" i="1"/>
  <c r="S254" i="1" s="1"/>
  <c r="P254" i="1"/>
  <c r="Q254" i="1" s="1"/>
  <c r="N254" i="1"/>
  <c r="O254" i="1" s="1"/>
  <c r="L254" i="1"/>
  <c r="M254" i="1" s="1"/>
  <c r="K254" i="1"/>
  <c r="U253" i="1"/>
  <c r="R253" i="1"/>
  <c r="S253" i="1" s="1"/>
  <c r="P253" i="1"/>
  <c r="Q253" i="1" s="1"/>
  <c r="N253" i="1"/>
  <c r="O253" i="1" s="1"/>
  <c r="L253" i="1"/>
  <c r="M253" i="1" s="1"/>
  <c r="K253" i="1"/>
  <c r="U252" i="1"/>
  <c r="R252" i="1"/>
  <c r="S252" i="1" s="1"/>
  <c r="P252" i="1"/>
  <c r="Q252" i="1" s="1"/>
  <c r="N252" i="1"/>
  <c r="O252" i="1" s="1"/>
  <c r="L252" i="1"/>
  <c r="M252" i="1" s="1"/>
  <c r="K252" i="1"/>
  <c r="U251" i="1"/>
  <c r="R251" i="1"/>
  <c r="S251" i="1" s="1"/>
  <c r="P251" i="1"/>
  <c r="Q251" i="1" s="1"/>
  <c r="N251" i="1"/>
  <c r="O251" i="1" s="1"/>
  <c r="L251" i="1"/>
  <c r="M251" i="1" s="1"/>
  <c r="K251" i="1"/>
  <c r="U250" i="1"/>
  <c r="R250" i="1"/>
  <c r="S250" i="1" s="1"/>
  <c r="P250" i="1"/>
  <c r="Q250" i="1" s="1"/>
  <c r="N250" i="1"/>
  <c r="O250" i="1" s="1"/>
  <c r="L250" i="1"/>
  <c r="M250" i="1" s="1"/>
  <c r="K250" i="1"/>
  <c r="U249" i="1"/>
  <c r="R249" i="1"/>
  <c r="S249" i="1" s="1"/>
  <c r="P249" i="1"/>
  <c r="Q249" i="1" s="1"/>
  <c r="N249" i="1"/>
  <c r="O249" i="1" s="1"/>
  <c r="L249" i="1"/>
  <c r="M249" i="1" s="1"/>
  <c r="K249" i="1"/>
  <c r="U248" i="1"/>
  <c r="R248" i="1"/>
  <c r="S248" i="1" s="1"/>
  <c r="P248" i="1"/>
  <c r="Q248" i="1" s="1"/>
  <c r="N248" i="1"/>
  <c r="O248" i="1" s="1"/>
  <c r="L248" i="1"/>
  <c r="M248" i="1" s="1"/>
  <c r="K248" i="1"/>
  <c r="U247" i="1"/>
  <c r="R247" i="1"/>
  <c r="S247" i="1" s="1"/>
  <c r="P247" i="1"/>
  <c r="Q247" i="1" s="1"/>
  <c r="N247" i="1"/>
  <c r="O247" i="1" s="1"/>
  <c r="L247" i="1"/>
  <c r="M247" i="1" s="1"/>
  <c r="K247" i="1"/>
  <c r="U245" i="1"/>
  <c r="R245" i="1"/>
  <c r="S245" i="1" s="1"/>
  <c r="P245" i="1"/>
  <c r="Q245" i="1" s="1"/>
  <c r="N245" i="1"/>
  <c r="O245" i="1" s="1"/>
  <c r="L245" i="1"/>
  <c r="M245" i="1" s="1"/>
  <c r="K245" i="1"/>
  <c r="U244" i="1"/>
  <c r="R244" i="1"/>
  <c r="S244" i="1" s="1"/>
  <c r="P244" i="1"/>
  <c r="Q244" i="1" s="1"/>
  <c r="N244" i="1"/>
  <c r="O244" i="1" s="1"/>
  <c r="L244" i="1"/>
  <c r="M244" i="1" s="1"/>
  <c r="K244" i="1"/>
  <c r="U243" i="1"/>
  <c r="R243" i="1"/>
  <c r="S243" i="1" s="1"/>
  <c r="P243" i="1"/>
  <c r="Q243" i="1" s="1"/>
  <c r="N243" i="1"/>
  <c r="O243" i="1" s="1"/>
  <c r="L243" i="1"/>
  <c r="M243" i="1" s="1"/>
  <c r="K243" i="1"/>
  <c r="U242" i="1"/>
  <c r="R242" i="1"/>
  <c r="S242" i="1" s="1"/>
  <c r="P242" i="1"/>
  <c r="Q242" i="1" s="1"/>
  <c r="N242" i="1"/>
  <c r="O242" i="1" s="1"/>
  <c r="L242" i="1"/>
  <c r="M242" i="1" s="1"/>
  <c r="K242" i="1"/>
  <c r="U241" i="1"/>
  <c r="R241" i="1"/>
  <c r="S241" i="1" s="1"/>
  <c r="P241" i="1"/>
  <c r="Q241" i="1" s="1"/>
  <c r="N241" i="1"/>
  <c r="O241" i="1" s="1"/>
  <c r="L241" i="1"/>
  <c r="M241" i="1" s="1"/>
  <c r="K241" i="1"/>
  <c r="U239" i="1"/>
  <c r="R239" i="1"/>
  <c r="S239" i="1" s="1"/>
  <c r="P239" i="1"/>
  <c r="Q239" i="1" s="1"/>
  <c r="N239" i="1"/>
  <c r="O239" i="1" s="1"/>
  <c r="L239" i="1"/>
  <c r="M239" i="1" s="1"/>
  <c r="K239" i="1"/>
  <c r="U238" i="1"/>
  <c r="R238" i="1"/>
  <c r="S238" i="1" s="1"/>
  <c r="P238" i="1"/>
  <c r="Q238" i="1" s="1"/>
  <c r="N238" i="1"/>
  <c r="O238" i="1" s="1"/>
  <c r="L238" i="1"/>
  <c r="M238" i="1" s="1"/>
  <c r="K238" i="1"/>
  <c r="U237" i="1"/>
  <c r="R237" i="1"/>
  <c r="S237" i="1" s="1"/>
  <c r="P237" i="1"/>
  <c r="Q237" i="1" s="1"/>
  <c r="N237" i="1"/>
  <c r="O237" i="1" s="1"/>
  <c r="L237" i="1"/>
  <c r="M237" i="1" s="1"/>
  <c r="K237" i="1"/>
  <c r="U236" i="1"/>
  <c r="R236" i="1"/>
  <c r="S236" i="1" s="1"/>
  <c r="P236" i="1"/>
  <c r="Q236" i="1" s="1"/>
  <c r="N236" i="1"/>
  <c r="O236" i="1" s="1"/>
  <c r="L236" i="1"/>
  <c r="M236" i="1" s="1"/>
  <c r="K236" i="1"/>
  <c r="U235" i="1"/>
  <c r="R235" i="1"/>
  <c r="S235" i="1" s="1"/>
  <c r="P235" i="1"/>
  <c r="Q235" i="1" s="1"/>
  <c r="N235" i="1"/>
  <c r="O235" i="1" s="1"/>
  <c r="L235" i="1"/>
  <c r="M235" i="1" s="1"/>
  <c r="K235" i="1"/>
  <c r="U234" i="1"/>
  <c r="R234" i="1"/>
  <c r="S234" i="1" s="1"/>
  <c r="P234" i="1"/>
  <c r="Q234" i="1" s="1"/>
  <c r="N234" i="1"/>
  <c r="O234" i="1" s="1"/>
  <c r="L234" i="1"/>
  <c r="M234" i="1" s="1"/>
  <c r="K234" i="1"/>
  <c r="R231" i="1"/>
  <c r="S231" i="1" s="1"/>
  <c r="P231" i="1"/>
  <c r="Q231" i="1" s="1"/>
  <c r="N231" i="1"/>
  <c r="O231" i="1" s="1"/>
  <c r="L231" i="1"/>
  <c r="M231" i="1" s="1"/>
  <c r="K231" i="1"/>
  <c r="U230" i="1"/>
  <c r="R230" i="1"/>
  <c r="S230" i="1" s="1"/>
  <c r="P230" i="1"/>
  <c r="Q230" i="1" s="1"/>
  <c r="N230" i="1"/>
  <c r="O230" i="1" s="1"/>
  <c r="L230" i="1"/>
  <c r="M230" i="1" s="1"/>
  <c r="K230" i="1"/>
  <c r="U229" i="1"/>
  <c r="R229" i="1"/>
  <c r="S229" i="1" s="1"/>
  <c r="P229" i="1"/>
  <c r="Q229" i="1" s="1"/>
  <c r="N229" i="1"/>
  <c r="O229" i="1" s="1"/>
  <c r="L229" i="1"/>
  <c r="M229" i="1" s="1"/>
  <c r="K229" i="1"/>
  <c r="U228" i="1"/>
  <c r="R228" i="1"/>
  <c r="S228" i="1" s="1"/>
  <c r="P228" i="1"/>
  <c r="Q228" i="1" s="1"/>
  <c r="N228" i="1"/>
  <c r="O228" i="1" s="1"/>
  <c r="L228" i="1"/>
  <c r="M228" i="1" s="1"/>
  <c r="K228" i="1"/>
  <c r="U227" i="1"/>
  <c r="R227" i="1"/>
  <c r="S227" i="1" s="1"/>
  <c r="P227" i="1"/>
  <c r="Q227" i="1" s="1"/>
  <c r="N227" i="1"/>
  <c r="O227" i="1" s="1"/>
  <c r="L227" i="1"/>
  <c r="M227" i="1" s="1"/>
  <c r="K227" i="1"/>
  <c r="U225" i="1"/>
  <c r="R225" i="1"/>
  <c r="S225" i="1" s="1"/>
  <c r="P225" i="1"/>
  <c r="Q225" i="1" s="1"/>
  <c r="N225" i="1"/>
  <c r="O225" i="1" s="1"/>
  <c r="L225" i="1"/>
  <c r="M225" i="1" s="1"/>
  <c r="K225" i="1"/>
  <c r="U224" i="1"/>
  <c r="R224" i="1"/>
  <c r="S224" i="1" s="1"/>
  <c r="P224" i="1"/>
  <c r="Q224" i="1" s="1"/>
  <c r="N224" i="1"/>
  <c r="O224" i="1" s="1"/>
  <c r="L224" i="1"/>
  <c r="M224" i="1" s="1"/>
  <c r="K224" i="1"/>
  <c r="U223" i="1"/>
  <c r="R223" i="1"/>
  <c r="S223" i="1" s="1"/>
  <c r="P223" i="1"/>
  <c r="Q223" i="1" s="1"/>
  <c r="N223" i="1"/>
  <c r="O223" i="1" s="1"/>
  <c r="L223" i="1"/>
  <c r="M223" i="1" s="1"/>
  <c r="K223" i="1"/>
  <c r="U222" i="1"/>
  <c r="R222" i="1"/>
  <c r="S222" i="1" s="1"/>
  <c r="P222" i="1"/>
  <c r="Q222" i="1" s="1"/>
  <c r="N222" i="1"/>
  <c r="O222" i="1" s="1"/>
  <c r="L222" i="1"/>
  <c r="M222" i="1" s="1"/>
  <c r="K222" i="1"/>
  <c r="U221" i="1"/>
  <c r="R221" i="1"/>
  <c r="S221" i="1" s="1"/>
  <c r="P221" i="1"/>
  <c r="Q221" i="1" s="1"/>
  <c r="N221" i="1"/>
  <c r="O221" i="1" s="1"/>
  <c r="L221" i="1"/>
  <c r="M221" i="1" s="1"/>
  <c r="K221" i="1"/>
  <c r="U220" i="1"/>
  <c r="R220" i="1"/>
  <c r="S220" i="1" s="1"/>
  <c r="P220" i="1"/>
  <c r="Q220" i="1" s="1"/>
  <c r="N220" i="1"/>
  <c r="O220" i="1" s="1"/>
  <c r="L220" i="1"/>
  <c r="M220" i="1" s="1"/>
  <c r="K220" i="1"/>
  <c r="U219" i="1"/>
  <c r="R219" i="1"/>
  <c r="S219" i="1" s="1"/>
  <c r="P219" i="1"/>
  <c r="Q219" i="1" s="1"/>
  <c r="N219" i="1"/>
  <c r="O219" i="1" s="1"/>
  <c r="L219" i="1"/>
  <c r="M219" i="1" s="1"/>
  <c r="K219" i="1"/>
  <c r="U218" i="1"/>
  <c r="R218" i="1"/>
  <c r="S218" i="1" s="1"/>
  <c r="P218" i="1"/>
  <c r="Q218" i="1" s="1"/>
  <c r="N218" i="1"/>
  <c r="O218" i="1" s="1"/>
  <c r="L218" i="1"/>
  <c r="M218" i="1" s="1"/>
  <c r="K218" i="1"/>
  <c r="U217" i="1"/>
  <c r="R217" i="1"/>
  <c r="S217" i="1" s="1"/>
  <c r="P217" i="1"/>
  <c r="Q217" i="1" s="1"/>
  <c r="N217" i="1"/>
  <c r="O217" i="1" s="1"/>
  <c r="L217" i="1"/>
  <c r="M217" i="1" s="1"/>
  <c r="K217" i="1"/>
  <c r="U216" i="1"/>
  <c r="R216" i="1"/>
  <c r="S216" i="1" s="1"/>
  <c r="P216" i="1"/>
  <c r="Q216" i="1" s="1"/>
  <c r="N216" i="1"/>
  <c r="O216" i="1" s="1"/>
  <c r="L216" i="1"/>
  <c r="M216" i="1" s="1"/>
  <c r="K216" i="1"/>
  <c r="U215" i="1"/>
  <c r="R215" i="1"/>
  <c r="S215" i="1" s="1"/>
  <c r="P215" i="1"/>
  <c r="Q215" i="1" s="1"/>
  <c r="N215" i="1"/>
  <c r="O215" i="1" s="1"/>
  <c r="L215" i="1"/>
  <c r="M215" i="1" s="1"/>
  <c r="K215" i="1"/>
  <c r="U214" i="1"/>
  <c r="R214" i="1"/>
  <c r="S214" i="1" s="1"/>
  <c r="P214" i="1"/>
  <c r="Q214" i="1" s="1"/>
  <c r="N214" i="1"/>
  <c r="O214" i="1" s="1"/>
  <c r="L214" i="1"/>
  <c r="M214" i="1" s="1"/>
  <c r="K214" i="1"/>
  <c r="U213" i="1"/>
  <c r="R213" i="1"/>
  <c r="S213" i="1" s="1"/>
  <c r="P213" i="1"/>
  <c r="Q213" i="1" s="1"/>
  <c r="N213" i="1"/>
  <c r="O213" i="1" s="1"/>
  <c r="L213" i="1"/>
  <c r="M213" i="1" s="1"/>
  <c r="K213" i="1"/>
  <c r="U212" i="1"/>
  <c r="R212" i="1"/>
  <c r="S212" i="1" s="1"/>
  <c r="P212" i="1"/>
  <c r="Q212" i="1" s="1"/>
  <c r="N212" i="1"/>
  <c r="O212" i="1" s="1"/>
  <c r="L212" i="1"/>
  <c r="M212" i="1" s="1"/>
  <c r="K212" i="1"/>
  <c r="U211" i="1"/>
  <c r="R211" i="1"/>
  <c r="S211" i="1" s="1"/>
  <c r="P211" i="1"/>
  <c r="Q211" i="1" s="1"/>
  <c r="N211" i="1"/>
  <c r="O211" i="1" s="1"/>
  <c r="L211" i="1"/>
  <c r="M211" i="1" s="1"/>
  <c r="K211" i="1"/>
  <c r="U210" i="1"/>
  <c r="R210" i="1"/>
  <c r="S210" i="1" s="1"/>
  <c r="P210" i="1"/>
  <c r="Q210" i="1" s="1"/>
  <c r="N210" i="1"/>
  <c r="O210" i="1" s="1"/>
  <c r="L210" i="1"/>
  <c r="M210" i="1" s="1"/>
  <c r="K210" i="1"/>
  <c r="U208" i="1"/>
  <c r="R208" i="1"/>
  <c r="S208" i="1" s="1"/>
  <c r="P208" i="1"/>
  <c r="Q208" i="1" s="1"/>
  <c r="N208" i="1"/>
  <c r="O208" i="1" s="1"/>
  <c r="L208" i="1"/>
  <c r="M208" i="1" s="1"/>
  <c r="K208" i="1"/>
  <c r="U207" i="1"/>
  <c r="R207" i="1"/>
  <c r="S207" i="1" s="1"/>
  <c r="P207" i="1"/>
  <c r="Q207" i="1" s="1"/>
  <c r="N207" i="1"/>
  <c r="O207" i="1" s="1"/>
  <c r="L207" i="1"/>
  <c r="M207" i="1" s="1"/>
  <c r="K207" i="1"/>
  <c r="U206" i="1"/>
  <c r="R206" i="1"/>
  <c r="S206" i="1" s="1"/>
  <c r="P206" i="1"/>
  <c r="Q206" i="1" s="1"/>
  <c r="N206" i="1"/>
  <c r="O206" i="1" s="1"/>
  <c r="L206" i="1"/>
  <c r="M206" i="1" s="1"/>
  <c r="K206" i="1"/>
  <c r="U205" i="1"/>
  <c r="R205" i="1"/>
  <c r="S205" i="1" s="1"/>
  <c r="P205" i="1"/>
  <c r="Q205" i="1" s="1"/>
  <c r="N205" i="1"/>
  <c r="O205" i="1" s="1"/>
  <c r="L205" i="1"/>
  <c r="M205" i="1" s="1"/>
  <c r="K205" i="1"/>
  <c r="U204" i="1"/>
  <c r="R204" i="1"/>
  <c r="S204" i="1" s="1"/>
  <c r="P204" i="1"/>
  <c r="Q204" i="1" s="1"/>
  <c r="N204" i="1"/>
  <c r="O204" i="1" s="1"/>
  <c r="L204" i="1"/>
  <c r="M204" i="1" s="1"/>
  <c r="K204" i="1"/>
  <c r="U203" i="1"/>
  <c r="R203" i="1"/>
  <c r="S203" i="1" s="1"/>
  <c r="P203" i="1"/>
  <c r="Q203" i="1" s="1"/>
  <c r="N203" i="1"/>
  <c r="O203" i="1" s="1"/>
  <c r="L203" i="1"/>
  <c r="M203" i="1" s="1"/>
  <c r="K203" i="1"/>
  <c r="U202" i="1"/>
  <c r="R202" i="1"/>
  <c r="S202" i="1" s="1"/>
  <c r="P202" i="1"/>
  <c r="Q202" i="1" s="1"/>
  <c r="N202" i="1"/>
  <c r="O202" i="1" s="1"/>
  <c r="L202" i="1"/>
  <c r="M202" i="1" s="1"/>
  <c r="K202" i="1"/>
  <c r="U201" i="1"/>
  <c r="R201" i="1"/>
  <c r="S201" i="1" s="1"/>
  <c r="P201" i="1"/>
  <c r="Q201" i="1" s="1"/>
  <c r="N201" i="1"/>
  <c r="O201" i="1" s="1"/>
  <c r="L201" i="1"/>
  <c r="M201" i="1" s="1"/>
  <c r="K201" i="1"/>
  <c r="U200" i="1"/>
  <c r="R200" i="1"/>
  <c r="S200" i="1" s="1"/>
  <c r="P200" i="1"/>
  <c r="Q200" i="1" s="1"/>
  <c r="N200" i="1"/>
  <c r="O200" i="1" s="1"/>
  <c r="L200" i="1"/>
  <c r="M200" i="1" s="1"/>
  <c r="K200" i="1"/>
  <c r="U199" i="1"/>
  <c r="R199" i="1"/>
  <c r="S199" i="1" s="1"/>
  <c r="P199" i="1"/>
  <c r="Q199" i="1" s="1"/>
  <c r="N199" i="1"/>
  <c r="O199" i="1" s="1"/>
  <c r="L199" i="1"/>
  <c r="M199" i="1" s="1"/>
  <c r="K199" i="1"/>
  <c r="U198" i="1"/>
  <c r="R198" i="1"/>
  <c r="S198" i="1" s="1"/>
  <c r="P198" i="1"/>
  <c r="Q198" i="1" s="1"/>
  <c r="N198" i="1"/>
  <c r="O198" i="1" s="1"/>
  <c r="L198" i="1"/>
  <c r="M198" i="1" s="1"/>
  <c r="K198" i="1"/>
  <c r="U194" i="1"/>
  <c r="R194" i="1"/>
  <c r="S194" i="1" s="1"/>
  <c r="P194" i="1"/>
  <c r="Q194" i="1" s="1"/>
  <c r="N194" i="1"/>
  <c r="O194" i="1" s="1"/>
  <c r="L194" i="1"/>
  <c r="M194" i="1" s="1"/>
  <c r="K194" i="1"/>
  <c r="U193" i="1"/>
  <c r="R193" i="1"/>
  <c r="S193" i="1" s="1"/>
  <c r="P193" i="1"/>
  <c r="Q193" i="1" s="1"/>
  <c r="N193" i="1"/>
  <c r="O193" i="1" s="1"/>
  <c r="L193" i="1"/>
  <c r="M193" i="1" s="1"/>
  <c r="K193" i="1"/>
  <c r="U192" i="1"/>
  <c r="R192" i="1"/>
  <c r="S192" i="1" s="1"/>
  <c r="P192" i="1"/>
  <c r="Q192" i="1" s="1"/>
  <c r="N192" i="1"/>
  <c r="O192" i="1" s="1"/>
  <c r="L192" i="1"/>
  <c r="M192" i="1" s="1"/>
  <c r="K192" i="1"/>
  <c r="U191" i="1"/>
  <c r="R191" i="1"/>
  <c r="S191" i="1" s="1"/>
  <c r="P191" i="1"/>
  <c r="Q191" i="1" s="1"/>
  <c r="N191" i="1"/>
  <c r="O191" i="1" s="1"/>
  <c r="L191" i="1"/>
  <c r="M191" i="1" s="1"/>
  <c r="K191" i="1"/>
  <c r="U190" i="1"/>
  <c r="R190" i="1"/>
  <c r="S190" i="1" s="1"/>
  <c r="P190" i="1"/>
  <c r="Q190" i="1" s="1"/>
  <c r="N190" i="1"/>
  <c r="O190" i="1" s="1"/>
  <c r="L190" i="1"/>
  <c r="M190" i="1" s="1"/>
  <c r="K190" i="1"/>
  <c r="U188" i="1"/>
  <c r="R188" i="1"/>
  <c r="S188" i="1" s="1"/>
  <c r="P188" i="1"/>
  <c r="Q188" i="1" s="1"/>
  <c r="N188" i="1"/>
  <c r="O188" i="1" s="1"/>
  <c r="L188" i="1"/>
  <c r="M188" i="1" s="1"/>
  <c r="K188" i="1"/>
  <c r="U187" i="1"/>
  <c r="R187" i="1"/>
  <c r="S187" i="1" s="1"/>
  <c r="P187" i="1"/>
  <c r="Q187" i="1" s="1"/>
  <c r="N187" i="1"/>
  <c r="O187" i="1" s="1"/>
  <c r="L187" i="1"/>
  <c r="M187" i="1" s="1"/>
  <c r="K187" i="1"/>
  <c r="U186" i="1"/>
  <c r="R186" i="1"/>
  <c r="S186" i="1" s="1"/>
  <c r="P186" i="1"/>
  <c r="Q186" i="1" s="1"/>
  <c r="N186" i="1"/>
  <c r="O186" i="1" s="1"/>
  <c r="L186" i="1"/>
  <c r="M186" i="1" s="1"/>
  <c r="K186" i="1"/>
  <c r="U185" i="1"/>
  <c r="R185" i="1"/>
  <c r="S185" i="1" s="1"/>
  <c r="P185" i="1"/>
  <c r="Q185" i="1" s="1"/>
  <c r="N185" i="1"/>
  <c r="O185" i="1" s="1"/>
  <c r="L185" i="1"/>
  <c r="M185" i="1" s="1"/>
  <c r="K185" i="1"/>
  <c r="U183" i="1"/>
  <c r="R183" i="1"/>
  <c r="S183" i="1" s="1"/>
  <c r="P183" i="1"/>
  <c r="Q183" i="1" s="1"/>
  <c r="N183" i="1"/>
  <c r="O183" i="1" s="1"/>
  <c r="L183" i="1"/>
  <c r="M183" i="1" s="1"/>
  <c r="K183" i="1"/>
  <c r="U182" i="1"/>
  <c r="R182" i="1"/>
  <c r="S182" i="1" s="1"/>
  <c r="P182" i="1"/>
  <c r="Q182" i="1" s="1"/>
  <c r="N182" i="1"/>
  <c r="O182" i="1" s="1"/>
  <c r="L182" i="1"/>
  <c r="M182" i="1" s="1"/>
  <c r="K182" i="1"/>
  <c r="U180" i="1"/>
  <c r="R180" i="1"/>
  <c r="S180" i="1" s="1"/>
  <c r="P180" i="1"/>
  <c r="Q180" i="1" s="1"/>
  <c r="N180" i="1"/>
  <c r="O180" i="1" s="1"/>
  <c r="L180" i="1"/>
  <c r="M180" i="1" s="1"/>
  <c r="K180" i="1"/>
  <c r="U179" i="1"/>
  <c r="R179" i="1"/>
  <c r="S179" i="1" s="1"/>
  <c r="P179" i="1"/>
  <c r="Q179" i="1" s="1"/>
  <c r="N179" i="1"/>
  <c r="O179" i="1" s="1"/>
  <c r="L179" i="1"/>
  <c r="M179" i="1" s="1"/>
  <c r="K179" i="1"/>
  <c r="U178" i="1"/>
  <c r="R178" i="1"/>
  <c r="S178" i="1" s="1"/>
  <c r="P178" i="1"/>
  <c r="Q178" i="1" s="1"/>
  <c r="N178" i="1"/>
  <c r="O178" i="1" s="1"/>
  <c r="L178" i="1"/>
  <c r="M178" i="1" s="1"/>
  <c r="K178" i="1"/>
  <c r="U177" i="1"/>
  <c r="R177" i="1"/>
  <c r="S177" i="1" s="1"/>
  <c r="P177" i="1"/>
  <c r="Q177" i="1" s="1"/>
  <c r="N177" i="1"/>
  <c r="O177" i="1" s="1"/>
  <c r="L177" i="1"/>
  <c r="M177" i="1" s="1"/>
  <c r="K177" i="1"/>
  <c r="U176" i="1"/>
  <c r="R176" i="1"/>
  <c r="S176" i="1" s="1"/>
  <c r="P176" i="1"/>
  <c r="Q176" i="1" s="1"/>
  <c r="N176" i="1"/>
  <c r="O176" i="1" s="1"/>
  <c r="L176" i="1"/>
  <c r="M176" i="1" s="1"/>
  <c r="K176" i="1"/>
  <c r="U175" i="1"/>
  <c r="R175" i="1"/>
  <c r="S175" i="1" s="1"/>
  <c r="P175" i="1"/>
  <c r="Q175" i="1" s="1"/>
  <c r="N175" i="1"/>
  <c r="O175" i="1" s="1"/>
  <c r="L175" i="1"/>
  <c r="M175" i="1" s="1"/>
  <c r="K175" i="1"/>
  <c r="U174" i="1"/>
  <c r="R174" i="1"/>
  <c r="S174" i="1" s="1"/>
  <c r="P174" i="1"/>
  <c r="Q174" i="1" s="1"/>
  <c r="N174" i="1"/>
  <c r="O174" i="1" s="1"/>
  <c r="L174" i="1"/>
  <c r="M174" i="1" s="1"/>
  <c r="K174" i="1"/>
  <c r="U173" i="1"/>
  <c r="R173" i="1"/>
  <c r="S173" i="1" s="1"/>
  <c r="P173" i="1"/>
  <c r="Q173" i="1" s="1"/>
  <c r="N173" i="1"/>
  <c r="O173" i="1" s="1"/>
  <c r="L173" i="1"/>
  <c r="M173" i="1" s="1"/>
  <c r="K173" i="1"/>
  <c r="U172" i="1"/>
  <c r="R172" i="1"/>
  <c r="S172" i="1" s="1"/>
  <c r="P172" i="1"/>
  <c r="Q172" i="1" s="1"/>
  <c r="N172" i="1"/>
  <c r="O172" i="1" s="1"/>
  <c r="L172" i="1"/>
  <c r="M172" i="1" s="1"/>
  <c r="K172" i="1"/>
  <c r="U171" i="1"/>
  <c r="R171" i="1"/>
  <c r="S171" i="1" s="1"/>
  <c r="P171" i="1"/>
  <c r="Q171" i="1" s="1"/>
  <c r="N171" i="1"/>
  <c r="O171" i="1" s="1"/>
  <c r="L171" i="1"/>
  <c r="M171" i="1" s="1"/>
  <c r="K171" i="1"/>
  <c r="U170" i="1"/>
  <c r="R170" i="1"/>
  <c r="S170" i="1" s="1"/>
  <c r="P170" i="1"/>
  <c r="Q170" i="1" s="1"/>
  <c r="N170" i="1"/>
  <c r="O170" i="1" s="1"/>
  <c r="L170" i="1"/>
  <c r="M170" i="1" s="1"/>
  <c r="K170" i="1"/>
  <c r="U169" i="1"/>
  <c r="R169" i="1"/>
  <c r="S169" i="1" s="1"/>
  <c r="P169" i="1"/>
  <c r="Q169" i="1" s="1"/>
  <c r="N169" i="1"/>
  <c r="O169" i="1" s="1"/>
  <c r="L169" i="1"/>
  <c r="M169" i="1" s="1"/>
  <c r="K169" i="1"/>
  <c r="U168" i="1"/>
  <c r="R168" i="1"/>
  <c r="S168" i="1" s="1"/>
  <c r="P168" i="1"/>
  <c r="Q168" i="1" s="1"/>
  <c r="N168" i="1"/>
  <c r="O168" i="1" s="1"/>
  <c r="L168" i="1"/>
  <c r="M168" i="1" s="1"/>
  <c r="K168" i="1"/>
  <c r="U167" i="1"/>
  <c r="R167" i="1"/>
  <c r="S167" i="1" s="1"/>
  <c r="P167" i="1"/>
  <c r="Q167" i="1" s="1"/>
  <c r="N167" i="1"/>
  <c r="O167" i="1" s="1"/>
  <c r="L167" i="1"/>
  <c r="M167" i="1" s="1"/>
  <c r="K167" i="1"/>
  <c r="U165" i="1"/>
  <c r="R165" i="1"/>
  <c r="S165" i="1" s="1"/>
  <c r="P165" i="1"/>
  <c r="Q165" i="1" s="1"/>
  <c r="N165" i="1"/>
  <c r="O165" i="1" s="1"/>
  <c r="L165" i="1"/>
  <c r="M165" i="1" s="1"/>
  <c r="K165" i="1"/>
  <c r="U164" i="1"/>
  <c r="R164" i="1"/>
  <c r="S164" i="1" s="1"/>
  <c r="P164" i="1"/>
  <c r="Q164" i="1" s="1"/>
  <c r="N164" i="1"/>
  <c r="O164" i="1" s="1"/>
  <c r="L164" i="1"/>
  <c r="M164" i="1" s="1"/>
  <c r="K164" i="1"/>
  <c r="U163" i="1"/>
  <c r="R163" i="1"/>
  <c r="S163" i="1" s="1"/>
  <c r="P163" i="1"/>
  <c r="Q163" i="1" s="1"/>
  <c r="N163" i="1"/>
  <c r="O163" i="1" s="1"/>
  <c r="L163" i="1"/>
  <c r="M163" i="1" s="1"/>
  <c r="K163" i="1"/>
  <c r="U162" i="1"/>
  <c r="R162" i="1"/>
  <c r="S162" i="1" s="1"/>
  <c r="P162" i="1"/>
  <c r="Q162" i="1" s="1"/>
  <c r="N162" i="1"/>
  <c r="O162" i="1" s="1"/>
  <c r="L162" i="1"/>
  <c r="M162" i="1" s="1"/>
  <c r="K162" i="1"/>
  <c r="U161" i="1"/>
  <c r="R161" i="1"/>
  <c r="S161" i="1" s="1"/>
  <c r="P161" i="1"/>
  <c r="Q161" i="1" s="1"/>
  <c r="N161" i="1"/>
  <c r="O161" i="1" s="1"/>
  <c r="L161" i="1"/>
  <c r="M161" i="1" s="1"/>
  <c r="K161" i="1"/>
  <c r="U160" i="1"/>
  <c r="R160" i="1"/>
  <c r="S160" i="1" s="1"/>
  <c r="P160" i="1"/>
  <c r="Q160" i="1" s="1"/>
  <c r="N160" i="1"/>
  <c r="O160" i="1" s="1"/>
  <c r="L160" i="1"/>
  <c r="M160" i="1" s="1"/>
  <c r="K160" i="1"/>
  <c r="U159" i="1"/>
  <c r="R159" i="1"/>
  <c r="S159" i="1" s="1"/>
  <c r="P159" i="1"/>
  <c r="Q159" i="1" s="1"/>
  <c r="N159" i="1"/>
  <c r="O159" i="1" s="1"/>
  <c r="L159" i="1"/>
  <c r="M159" i="1" s="1"/>
  <c r="K159" i="1"/>
  <c r="U158" i="1"/>
  <c r="R158" i="1"/>
  <c r="S158" i="1" s="1"/>
  <c r="P158" i="1"/>
  <c r="Q158" i="1" s="1"/>
  <c r="N158" i="1"/>
  <c r="O158" i="1" s="1"/>
  <c r="L158" i="1"/>
  <c r="M158" i="1" s="1"/>
  <c r="K158" i="1"/>
  <c r="U157" i="1"/>
  <c r="R157" i="1"/>
  <c r="S157" i="1" s="1"/>
  <c r="P157" i="1"/>
  <c r="Q157" i="1" s="1"/>
  <c r="N157" i="1"/>
  <c r="O157" i="1" s="1"/>
  <c r="L157" i="1"/>
  <c r="M157" i="1" s="1"/>
  <c r="K157" i="1"/>
  <c r="U156" i="1"/>
  <c r="R156" i="1"/>
  <c r="S156" i="1" s="1"/>
  <c r="P156" i="1"/>
  <c r="Q156" i="1" s="1"/>
  <c r="N156" i="1"/>
  <c r="O156" i="1" s="1"/>
  <c r="L156" i="1"/>
  <c r="M156" i="1" s="1"/>
  <c r="K156" i="1"/>
  <c r="U155" i="1"/>
  <c r="R155" i="1"/>
  <c r="S155" i="1" s="1"/>
  <c r="P155" i="1"/>
  <c r="Q155" i="1" s="1"/>
  <c r="N155" i="1"/>
  <c r="O155" i="1" s="1"/>
  <c r="L155" i="1"/>
  <c r="M155" i="1" s="1"/>
  <c r="K155" i="1"/>
  <c r="U154" i="1"/>
  <c r="R154" i="1"/>
  <c r="S154" i="1" s="1"/>
  <c r="P154" i="1"/>
  <c r="Q154" i="1" s="1"/>
  <c r="N154" i="1"/>
  <c r="O154" i="1" s="1"/>
  <c r="L154" i="1"/>
  <c r="M154" i="1" s="1"/>
  <c r="K154" i="1"/>
  <c r="U153" i="1"/>
  <c r="R153" i="1"/>
  <c r="S153" i="1" s="1"/>
  <c r="P153" i="1"/>
  <c r="Q153" i="1" s="1"/>
  <c r="N153" i="1"/>
  <c r="O153" i="1" s="1"/>
  <c r="L153" i="1"/>
  <c r="M153" i="1" s="1"/>
  <c r="K153" i="1"/>
  <c r="U152" i="1"/>
  <c r="R152" i="1"/>
  <c r="S152" i="1" s="1"/>
  <c r="P152" i="1"/>
  <c r="Q152" i="1" s="1"/>
  <c r="N152" i="1"/>
  <c r="O152" i="1" s="1"/>
  <c r="L152" i="1"/>
  <c r="M152" i="1" s="1"/>
  <c r="K152" i="1"/>
  <c r="U151" i="1"/>
  <c r="R151" i="1"/>
  <c r="S151" i="1" s="1"/>
  <c r="P151" i="1"/>
  <c r="Q151" i="1" s="1"/>
  <c r="N151" i="1"/>
  <c r="O151" i="1" s="1"/>
  <c r="L151" i="1"/>
  <c r="M151" i="1" s="1"/>
  <c r="K151" i="1"/>
  <c r="U150" i="1"/>
  <c r="S150" i="1"/>
  <c r="Q150" i="1"/>
  <c r="O150" i="1"/>
  <c r="M150" i="1"/>
  <c r="K150" i="1"/>
  <c r="U148" i="1"/>
  <c r="R148" i="1"/>
  <c r="S148" i="1" s="1"/>
  <c r="P148" i="1"/>
  <c r="Q148" i="1" s="1"/>
  <c r="N148" i="1"/>
  <c r="O148" i="1" s="1"/>
  <c r="L148" i="1"/>
  <c r="M148" i="1" s="1"/>
  <c r="K148" i="1"/>
  <c r="U147" i="1"/>
  <c r="R147" i="1"/>
  <c r="S147" i="1" s="1"/>
  <c r="P147" i="1"/>
  <c r="Q147" i="1" s="1"/>
  <c r="N147" i="1"/>
  <c r="O147" i="1" s="1"/>
  <c r="L147" i="1"/>
  <c r="M147" i="1" s="1"/>
  <c r="K147" i="1"/>
  <c r="U146" i="1"/>
  <c r="R146" i="1"/>
  <c r="S146" i="1" s="1"/>
  <c r="P146" i="1"/>
  <c r="Q146" i="1" s="1"/>
  <c r="N146" i="1"/>
  <c r="O146" i="1" s="1"/>
  <c r="L146" i="1"/>
  <c r="M146" i="1" s="1"/>
  <c r="K146" i="1"/>
  <c r="R145" i="1"/>
  <c r="S145" i="1" s="1"/>
  <c r="P145" i="1"/>
  <c r="Q145" i="1" s="1"/>
  <c r="N145" i="1"/>
  <c r="O145" i="1" s="1"/>
  <c r="L145" i="1"/>
  <c r="M145" i="1" s="1"/>
  <c r="K145" i="1"/>
  <c r="U144" i="1"/>
  <c r="R144" i="1"/>
  <c r="S144" i="1" s="1"/>
  <c r="P144" i="1"/>
  <c r="Q144" i="1" s="1"/>
  <c r="N144" i="1"/>
  <c r="O144" i="1" s="1"/>
  <c r="L144" i="1"/>
  <c r="M144" i="1" s="1"/>
  <c r="K144" i="1"/>
  <c r="U143" i="1"/>
  <c r="R143" i="1"/>
  <c r="S143" i="1" s="1"/>
  <c r="P143" i="1"/>
  <c r="Q143" i="1" s="1"/>
  <c r="N143" i="1"/>
  <c r="O143" i="1" s="1"/>
  <c r="L143" i="1"/>
  <c r="M143" i="1" s="1"/>
  <c r="K143" i="1"/>
  <c r="U142" i="1"/>
  <c r="R142" i="1"/>
  <c r="S142" i="1" s="1"/>
  <c r="P142" i="1"/>
  <c r="Q142" i="1" s="1"/>
  <c r="N142" i="1"/>
  <c r="O142" i="1" s="1"/>
  <c r="L142" i="1"/>
  <c r="M142" i="1" s="1"/>
  <c r="K142" i="1"/>
  <c r="U141" i="1"/>
  <c r="R141" i="1"/>
  <c r="S141" i="1" s="1"/>
  <c r="P141" i="1"/>
  <c r="Q141" i="1" s="1"/>
  <c r="N141" i="1"/>
  <c r="O141" i="1" s="1"/>
  <c r="L141" i="1"/>
  <c r="M141" i="1" s="1"/>
  <c r="K141" i="1"/>
  <c r="U140" i="1"/>
  <c r="R140" i="1"/>
  <c r="S140" i="1" s="1"/>
  <c r="P140" i="1"/>
  <c r="Q140" i="1" s="1"/>
  <c r="N140" i="1"/>
  <c r="O140" i="1" s="1"/>
  <c r="L140" i="1"/>
  <c r="M140" i="1" s="1"/>
  <c r="K140" i="1"/>
  <c r="U139" i="1"/>
  <c r="R139" i="1"/>
  <c r="S139" i="1" s="1"/>
  <c r="P139" i="1"/>
  <c r="Q139" i="1" s="1"/>
  <c r="N139" i="1"/>
  <c r="O139" i="1" s="1"/>
  <c r="L139" i="1"/>
  <c r="M139" i="1" s="1"/>
  <c r="K139" i="1"/>
  <c r="U138" i="1"/>
  <c r="R138" i="1"/>
  <c r="S138" i="1" s="1"/>
  <c r="P138" i="1"/>
  <c r="Q138" i="1" s="1"/>
  <c r="N138" i="1"/>
  <c r="O138" i="1" s="1"/>
  <c r="L138" i="1"/>
  <c r="M138" i="1" s="1"/>
  <c r="K138" i="1"/>
  <c r="U137" i="1"/>
  <c r="R137" i="1"/>
  <c r="S137" i="1" s="1"/>
  <c r="P137" i="1"/>
  <c r="Q137" i="1" s="1"/>
  <c r="N137" i="1"/>
  <c r="O137" i="1" s="1"/>
  <c r="L137" i="1"/>
  <c r="M137" i="1" s="1"/>
  <c r="K137" i="1"/>
  <c r="R136" i="1"/>
  <c r="S136" i="1" s="1"/>
  <c r="P136" i="1"/>
  <c r="Q136" i="1" s="1"/>
  <c r="N136" i="1"/>
  <c r="O136" i="1" s="1"/>
  <c r="L136" i="1"/>
  <c r="M136" i="1" s="1"/>
  <c r="K136" i="1"/>
  <c r="U134" i="1"/>
  <c r="R134" i="1"/>
  <c r="S134" i="1" s="1"/>
  <c r="P134" i="1"/>
  <c r="Q134" i="1" s="1"/>
  <c r="N134" i="1"/>
  <c r="O134" i="1" s="1"/>
  <c r="L134" i="1"/>
  <c r="M134" i="1" s="1"/>
  <c r="K134" i="1"/>
  <c r="U133" i="1"/>
  <c r="R133" i="1"/>
  <c r="S133" i="1" s="1"/>
  <c r="P133" i="1"/>
  <c r="Q133" i="1" s="1"/>
  <c r="N133" i="1"/>
  <c r="O133" i="1" s="1"/>
  <c r="L133" i="1"/>
  <c r="M133" i="1" s="1"/>
  <c r="K133" i="1"/>
  <c r="U132" i="1"/>
  <c r="R132" i="1"/>
  <c r="S132" i="1" s="1"/>
  <c r="P132" i="1"/>
  <c r="Q132" i="1" s="1"/>
  <c r="N132" i="1"/>
  <c r="O132" i="1" s="1"/>
  <c r="L132" i="1"/>
  <c r="M132" i="1" s="1"/>
  <c r="K132" i="1"/>
  <c r="U131" i="1"/>
  <c r="R131" i="1"/>
  <c r="S131" i="1" s="1"/>
  <c r="P131" i="1"/>
  <c r="Q131" i="1" s="1"/>
  <c r="N131" i="1"/>
  <c r="O131" i="1" s="1"/>
  <c r="L131" i="1"/>
  <c r="M131" i="1" s="1"/>
  <c r="K131" i="1"/>
  <c r="U129" i="1"/>
  <c r="R129" i="1"/>
  <c r="S129" i="1" s="1"/>
  <c r="P129" i="1"/>
  <c r="Q129" i="1" s="1"/>
  <c r="N129" i="1"/>
  <c r="O129" i="1" s="1"/>
  <c r="L129" i="1"/>
  <c r="M129" i="1" s="1"/>
  <c r="K129" i="1"/>
  <c r="U128" i="1"/>
  <c r="R128" i="1"/>
  <c r="S128" i="1" s="1"/>
  <c r="P128" i="1"/>
  <c r="Q128" i="1" s="1"/>
  <c r="N128" i="1"/>
  <c r="O128" i="1" s="1"/>
  <c r="L128" i="1"/>
  <c r="M128" i="1" s="1"/>
  <c r="K128" i="1"/>
  <c r="U127" i="1"/>
  <c r="R127" i="1"/>
  <c r="S127" i="1" s="1"/>
  <c r="P127" i="1"/>
  <c r="Q127" i="1" s="1"/>
  <c r="N127" i="1"/>
  <c r="O127" i="1" s="1"/>
  <c r="L127" i="1"/>
  <c r="M127" i="1" s="1"/>
  <c r="K127" i="1"/>
  <c r="U126" i="1"/>
  <c r="R126" i="1"/>
  <c r="S126" i="1" s="1"/>
  <c r="P126" i="1"/>
  <c r="Q126" i="1" s="1"/>
  <c r="N126" i="1"/>
  <c r="O126" i="1" s="1"/>
  <c r="L126" i="1"/>
  <c r="M126" i="1" s="1"/>
  <c r="K126" i="1"/>
  <c r="U125" i="1"/>
  <c r="R125" i="1"/>
  <c r="S125" i="1" s="1"/>
  <c r="P125" i="1"/>
  <c r="Q125" i="1" s="1"/>
  <c r="N125" i="1"/>
  <c r="O125" i="1" s="1"/>
  <c r="L125" i="1"/>
  <c r="M125" i="1" s="1"/>
  <c r="K125" i="1"/>
  <c r="U124" i="1"/>
  <c r="R124" i="1"/>
  <c r="S124" i="1" s="1"/>
  <c r="P124" i="1"/>
  <c r="Q124" i="1" s="1"/>
  <c r="N124" i="1"/>
  <c r="O124" i="1" s="1"/>
  <c r="L124" i="1"/>
  <c r="M124" i="1" s="1"/>
  <c r="K124" i="1"/>
  <c r="U123" i="1"/>
  <c r="R123" i="1"/>
  <c r="S123" i="1" s="1"/>
  <c r="P123" i="1"/>
  <c r="Q123" i="1" s="1"/>
  <c r="N123" i="1"/>
  <c r="O123" i="1" s="1"/>
  <c r="L123" i="1"/>
  <c r="M123" i="1" s="1"/>
  <c r="K123" i="1"/>
  <c r="R122" i="1"/>
  <c r="S122" i="1" s="1"/>
  <c r="P122" i="1"/>
  <c r="Q122" i="1" s="1"/>
  <c r="N122" i="1"/>
  <c r="O122" i="1" s="1"/>
  <c r="L122" i="1"/>
  <c r="M122" i="1" s="1"/>
  <c r="K122" i="1"/>
  <c r="U119" i="1"/>
  <c r="R119" i="1"/>
  <c r="S119" i="1" s="1"/>
  <c r="P119" i="1"/>
  <c r="Q119" i="1" s="1"/>
  <c r="N119" i="1"/>
  <c r="O119" i="1" s="1"/>
  <c r="L119" i="1"/>
  <c r="M119" i="1" s="1"/>
  <c r="K119" i="1"/>
  <c r="U118" i="1"/>
  <c r="R118" i="1"/>
  <c r="S118" i="1" s="1"/>
  <c r="P118" i="1"/>
  <c r="Q118" i="1" s="1"/>
  <c r="N118" i="1"/>
  <c r="O118" i="1" s="1"/>
  <c r="L118" i="1"/>
  <c r="M118" i="1" s="1"/>
  <c r="K118" i="1"/>
  <c r="U117" i="1"/>
  <c r="R117" i="1"/>
  <c r="S117" i="1" s="1"/>
  <c r="P117" i="1"/>
  <c r="Q117" i="1" s="1"/>
  <c r="N117" i="1"/>
  <c r="O117" i="1" s="1"/>
  <c r="L117" i="1"/>
  <c r="M117" i="1" s="1"/>
  <c r="K117" i="1"/>
  <c r="U116" i="1"/>
  <c r="R116" i="1"/>
  <c r="S116" i="1" s="1"/>
  <c r="P116" i="1"/>
  <c r="Q116" i="1" s="1"/>
  <c r="N116" i="1"/>
  <c r="O116" i="1" s="1"/>
  <c r="L116" i="1"/>
  <c r="M116" i="1" s="1"/>
  <c r="K116" i="1"/>
  <c r="U115" i="1"/>
  <c r="R115" i="1"/>
  <c r="S115" i="1" s="1"/>
  <c r="P115" i="1"/>
  <c r="Q115" i="1" s="1"/>
  <c r="N115" i="1"/>
  <c r="O115" i="1" s="1"/>
  <c r="L115" i="1"/>
  <c r="M115" i="1" s="1"/>
  <c r="K115" i="1"/>
  <c r="U114" i="1"/>
  <c r="R114" i="1"/>
  <c r="S114" i="1" s="1"/>
  <c r="P114" i="1"/>
  <c r="Q114" i="1" s="1"/>
  <c r="N114" i="1"/>
  <c r="O114" i="1" s="1"/>
  <c r="L114" i="1"/>
  <c r="M114" i="1" s="1"/>
  <c r="K114" i="1"/>
  <c r="U113" i="1"/>
  <c r="R113" i="1"/>
  <c r="S113" i="1" s="1"/>
  <c r="P113" i="1"/>
  <c r="Q113" i="1" s="1"/>
  <c r="N113" i="1"/>
  <c r="O113" i="1" s="1"/>
  <c r="L113" i="1"/>
  <c r="M113" i="1" s="1"/>
  <c r="K113" i="1"/>
  <c r="U112" i="1"/>
  <c r="R112" i="1"/>
  <c r="S112" i="1" s="1"/>
  <c r="P112" i="1"/>
  <c r="Q112" i="1" s="1"/>
  <c r="N112" i="1"/>
  <c r="O112" i="1" s="1"/>
  <c r="L112" i="1"/>
  <c r="M112" i="1" s="1"/>
  <c r="K112" i="1"/>
  <c r="U111" i="1"/>
  <c r="R111" i="1"/>
  <c r="S111" i="1" s="1"/>
  <c r="P111" i="1"/>
  <c r="Q111" i="1" s="1"/>
  <c r="N111" i="1"/>
  <c r="O111" i="1" s="1"/>
  <c r="L111" i="1"/>
  <c r="M111" i="1" s="1"/>
  <c r="K111" i="1"/>
  <c r="U110" i="1"/>
  <c r="R110" i="1"/>
  <c r="S110" i="1" s="1"/>
  <c r="P110" i="1"/>
  <c r="Q110" i="1" s="1"/>
  <c r="N110" i="1"/>
  <c r="O110" i="1" s="1"/>
  <c r="L110" i="1"/>
  <c r="M110" i="1" s="1"/>
  <c r="K110" i="1"/>
  <c r="U109" i="1"/>
  <c r="R109" i="1"/>
  <c r="S109" i="1" s="1"/>
  <c r="P109" i="1"/>
  <c r="Q109" i="1" s="1"/>
  <c r="N109" i="1"/>
  <c r="O109" i="1" s="1"/>
  <c r="L109" i="1"/>
  <c r="M109" i="1" s="1"/>
  <c r="K109" i="1"/>
  <c r="U108" i="1"/>
  <c r="R108" i="1"/>
  <c r="S108" i="1" s="1"/>
  <c r="P108" i="1"/>
  <c r="Q108" i="1" s="1"/>
  <c r="N108" i="1"/>
  <c r="O108" i="1" s="1"/>
  <c r="L108" i="1"/>
  <c r="M108" i="1" s="1"/>
  <c r="K108" i="1"/>
  <c r="U107" i="1"/>
  <c r="R107" i="1"/>
  <c r="S107" i="1" s="1"/>
  <c r="P107" i="1"/>
  <c r="Q107" i="1" s="1"/>
  <c r="N107" i="1"/>
  <c r="O107" i="1" s="1"/>
  <c r="L107" i="1"/>
  <c r="M107" i="1" s="1"/>
  <c r="K107" i="1"/>
  <c r="U106" i="1"/>
  <c r="R106" i="1"/>
  <c r="S106" i="1" s="1"/>
  <c r="P106" i="1"/>
  <c r="Q106" i="1" s="1"/>
  <c r="N106" i="1"/>
  <c r="O106" i="1" s="1"/>
  <c r="L106" i="1"/>
  <c r="M106" i="1" s="1"/>
  <c r="K106" i="1"/>
  <c r="U105" i="1"/>
  <c r="R105" i="1"/>
  <c r="S105" i="1" s="1"/>
  <c r="P105" i="1"/>
  <c r="Q105" i="1" s="1"/>
  <c r="N105" i="1"/>
  <c r="O105" i="1" s="1"/>
  <c r="L105" i="1"/>
  <c r="M105" i="1" s="1"/>
  <c r="K105" i="1"/>
  <c r="U104" i="1"/>
  <c r="R104" i="1"/>
  <c r="S104" i="1" s="1"/>
  <c r="P104" i="1"/>
  <c r="Q104" i="1" s="1"/>
  <c r="N104" i="1"/>
  <c r="O104" i="1" s="1"/>
  <c r="L104" i="1"/>
  <c r="M104" i="1" s="1"/>
  <c r="K104" i="1"/>
  <c r="U103" i="1"/>
  <c r="R103" i="1"/>
  <c r="S103" i="1" s="1"/>
  <c r="P103" i="1"/>
  <c r="Q103" i="1" s="1"/>
  <c r="N103" i="1"/>
  <c r="O103" i="1" s="1"/>
  <c r="L103" i="1"/>
  <c r="M103" i="1" s="1"/>
  <c r="K103" i="1"/>
  <c r="R101" i="1"/>
  <c r="S101" i="1" s="1"/>
  <c r="P101" i="1"/>
  <c r="Q101" i="1" s="1"/>
  <c r="N101" i="1"/>
  <c r="O101" i="1" s="1"/>
  <c r="L101" i="1"/>
  <c r="M101" i="1" s="1"/>
  <c r="K101" i="1"/>
  <c r="U100" i="1"/>
  <c r="R100" i="1"/>
  <c r="S100" i="1" s="1"/>
  <c r="P100" i="1"/>
  <c r="Q100" i="1" s="1"/>
  <c r="N100" i="1"/>
  <c r="O100" i="1" s="1"/>
  <c r="L100" i="1"/>
  <c r="M100" i="1" s="1"/>
  <c r="K100" i="1"/>
  <c r="U97" i="1"/>
  <c r="R97" i="1"/>
  <c r="S97" i="1" s="1"/>
  <c r="P97" i="1"/>
  <c r="Q97" i="1" s="1"/>
  <c r="N97" i="1"/>
  <c r="O97" i="1" s="1"/>
  <c r="L97" i="1"/>
  <c r="M97" i="1" s="1"/>
  <c r="K97" i="1"/>
  <c r="U96" i="1"/>
  <c r="R96" i="1"/>
  <c r="S96" i="1" s="1"/>
  <c r="P96" i="1"/>
  <c r="Q96" i="1" s="1"/>
  <c r="N96" i="1"/>
  <c r="O96" i="1" s="1"/>
  <c r="L96" i="1"/>
  <c r="M96" i="1" s="1"/>
  <c r="K96" i="1"/>
  <c r="U95" i="1"/>
  <c r="R95" i="1"/>
  <c r="S95" i="1" s="1"/>
  <c r="P95" i="1"/>
  <c r="Q95" i="1" s="1"/>
  <c r="N95" i="1"/>
  <c r="O95" i="1" s="1"/>
  <c r="L95" i="1"/>
  <c r="M95" i="1" s="1"/>
  <c r="K95" i="1"/>
  <c r="U94" i="1"/>
  <c r="R94" i="1"/>
  <c r="S94" i="1" s="1"/>
  <c r="P94" i="1"/>
  <c r="Q94" i="1" s="1"/>
  <c r="N94" i="1"/>
  <c r="O94" i="1" s="1"/>
  <c r="L94" i="1"/>
  <c r="M94" i="1" s="1"/>
  <c r="K94" i="1"/>
  <c r="U93" i="1"/>
  <c r="R93" i="1"/>
  <c r="S93" i="1" s="1"/>
  <c r="P93" i="1"/>
  <c r="Q93" i="1" s="1"/>
  <c r="N93" i="1"/>
  <c r="O93" i="1" s="1"/>
  <c r="L93" i="1"/>
  <c r="M93" i="1" s="1"/>
  <c r="K93" i="1"/>
  <c r="U91" i="1"/>
  <c r="R91" i="1"/>
  <c r="S91" i="1" s="1"/>
  <c r="P91" i="1"/>
  <c r="Q91" i="1" s="1"/>
  <c r="N91" i="1"/>
  <c r="O91" i="1" s="1"/>
  <c r="L91" i="1"/>
  <c r="M91" i="1" s="1"/>
  <c r="K91" i="1"/>
  <c r="U90" i="1"/>
  <c r="R90" i="1"/>
  <c r="S90" i="1" s="1"/>
  <c r="P90" i="1"/>
  <c r="Q90" i="1" s="1"/>
  <c r="N90" i="1"/>
  <c r="O90" i="1" s="1"/>
  <c r="L90" i="1"/>
  <c r="M90" i="1" s="1"/>
  <c r="K90" i="1"/>
  <c r="U89" i="1"/>
  <c r="R89" i="1"/>
  <c r="S89" i="1" s="1"/>
  <c r="P89" i="1"/>
  <c r="Q89" i="1" s="1"/>
  <c r="N89" i="1"/>
  <c r="O89" i="1" s="1"/>
  <c r="L89" i="1"/>
  <c r="M89" i="1" s="1"/>
  <c r="K89" i="1"/>
  <c r="U88" i="1"/>
  <c r="R88" i="1"/>
  <c r="S88" i="1" s="1"/>
  <c r="P88" i="1"/>
  <c r="Q88" i="1" s="1"/>
  <c r="N88" i="1"/>
  <c r="O88" i="1" s="1"/>
  <c r="L88" i="1"/>
  <c r="M88" i="1" s="1"/>
  <c r="K88" i="1"/>
  <c r="U87" i="1"/>
  <c r="R87" i="1"/>
  <c r="S87" i="1" s="1"/>
  <c r="P87" i="1"/>
  <c r="Q87" i="1" s="1"/>
  <c r="N87" i="1"/>
  <c r="O87" i="1" s="1"/>
  <c r="L87" i="1"/>
  <c r="M87" i="1" s="1"/>
  <c r="K87" i="1"/>
  <c r="U86" i="1"/>
  <c r="R86" i="1"/>
  <c r="S86" i="1" s="1"/>
  <c r="P86" i="1"/>
  <c r="Q86" i="1" s="1"/>
  <c r="N86" i="1"/>
  <c r="O86" i="1" s="1"/>
  <c r="L86" i="1"/>
  <c r="M86" i="1" s="1"/>
  <c r="K86" i="1"/>
  <c r="U85" i="1"/>
  <c r="R85" i="1"/>
  <c r="S85" i="1" s="1"/>
  <c r="P85" i="1"/>
  <c r="Q85" i="1" s="1"/>
  <c r="N85" i="1"/>
  <c r="O85" i="1" s="1"/>
  <c r="L85" i="1"/>
  <c r="M85" i="1" s="1"/>
  <c r="K85" i="1"/>
  <c r="U84" i="1"/>
  <c r="R84" i="1"/>
  <c r="S84" i="1" s="1"/>
  <c r="P84" i="1"/>
  <c r="Q84" i="1" s="1"/>
  <c r="N84" i="1"/>
  <c r="L84" i="1"/>
  <c r="M84" i="1" s="1"/>
  <c r="K84" i="1"/>
  <c r="U82" i="1"/>
  <c r="R82" i="1"/>
  <c r="S82" i="1" s="1"/>
  <c r="P82" i="1"/>
  <c r="Q82" i="1" s="1"/>
  <c r="N82" i="1"/>
  <c r="O82" i="1" s="1"/>
  <c r="L82" i="1"/>
  <c r="M82" i="1" s="1"/>
  <c r="K82" i="1"/>
  <c r="U81" i="1"/>
  <c r="R81" i="1"/>
  <c r="S81" i="1" s="1"/>
  <c r="P81" i="1"/>
  <c r="Q81" i="1" s="1"/>
  <c r="N81" i="1"/>
  <c r="O81" i="1" s="1"/>
  <c r="L81" i="1"/>
  <c r="M81" i="1" s="1"/>
  <c r="K81" i="1"/>
  <c r="U80" i="1"/>
  <c r="R80" i="1"/>
  <c r="S80" i="1" s="1"/>
  <c r="P80" i="1"/>
  <c r="Q80" i="1" s="1"/>
  <c r="N80" i="1"/>
  <c r="O80" i="1" s="1"/>
  <c r="L80" i="1"/>
  <c r="M80" i="1" s="1"/>
  <c r="K80" i="1"/>
  <c r="U73" i="1"/>
  <c r="R73" i="1"/>
  <c r="S73" i="1" s="1"/>
  <c r="P73" i="1"/>
  <c r="Q73" i="1" s="1"/>
  <c r="N73" i="1"/>
  <c r="O73" i="1" s="1"/>
  <c r="L73" i="1"/>
  <c r="M73" i="1" s="1"/>
  <c r="K73" i="1"/>
  <c r="U72" i="1"/>
  <c r="R72" i="1"/>
  <c r="S72" i="1" s="1"/>
  <c r="P72" i="1"/>
  <c r="Q72" i="1" s="1"/>
  <c r="N72" i="1"/>
  <c r="O72" i="1" s="1"/>
  <c r="L72" i="1"/>
  <c r="M72" i="1" s="1"/>
  <c r="K72" i="1"/>
  <c r="U71" i="1"/>
  <c r="R71" i="1"/>
  <c r="S71" i="1" s="1"/>
  <c r="P71" i="1"/>
  <c r="Q71" i="1" s="1"/>
  <c r="N71" i="1"/>
  <c r="O71" i="1" s="1"/>
  <c r="L71" i="1"/>
  <c r="M71" i="1" s="1"/>
  <c r="K71" i="1"/>
  <c r="U58" i="1"/>
  <c r="U57" i="1" s="1"/>
  <c r="R58" i="1"/>
  <c r="S58" i="1" s="1"/>
  <c r="S57" i="1" s="1"/>
  <c r="P58" i="1"/>
  <c r="Q58" i="1" s="1"/>
  <c r="Q57" i="1" s="1"/>
  <c r="N58" i="1"/>
  <c r="O58" i="1" s="1"/>
  <c r="O57" i="1" s="1"/>
  <c r="L58" i="1"/>
  <c r="M58" i="1" s="1"/>
  <c r="M57" i="1" s="1"/>
  <c r="K58" i="1"/>
  <c r="K57" i="1" s="1"/>
  <c r="M393" i="1" l="1"/>
  <c r="S393" i="1"/>
  <c r="S334" i="1"/>
  <c r="K393" i="1"/>
  <c r="O393" i="1"/>
  <c r="M334" i="1"/>
  <c r="Q393" i="1"/>
  <c r="O334" i="1"/>
  <c r="K334" i="1"/>
  <c r="S189" i="1"/>
  <c r="U189" i="1"/>
  <c r="K189" i="1"/>
  <c r="M189" i="1"/>
  <c r="O189" i="1"/>
  <c r="Q189" i="1"/>
  <c r="O149" i="1"/>
  <c r="K149" i="1"/>
  <c r="S79" i="1"/>
  <c r="M149" i="1"/>
  <c r="Q149" i="1"/>
  <c r="S149" i="1"/>
  <c r="U149" i="1"/>
  <c r="M79" i="1"/>
  <c r="O79" i="1"/>
  <c r="K83" i="1"/>
  <c r="O83" i="1"/>
  <c r="Q79" i="1"/>
  <c r="U83" i="1"/>
  <c r="K79" i="1"/>
  <c r="M83" i="1"/>
  <c r="Q83" i="1"/>
  <c r="S83" i="1"/>
  <c r="K120" i="1"/>
  <c r="M120" i="1"/>
  <c r="O120" i="1"/>
  <c r="Q120" i="1"/>
  <c r="S120" i="1"/>
  <c r="S304" i="1"/>
  <c r="O546" i="1"/>
  <c r="K470" i="1"/>
  <c r="S546" i="1"/>
  <c r="K546" i="1"/>
  <c r="M546" i="1"/>
  <c r="S297" i="1"/>
  <c r="O297" i="1"/>
  <c r="Q304" i="1"/>
  <c r="K297" i="1"/>
  <c r="Q297" i="1"/>
  <c r="K304" i="1"/>
  <c r="M297" i="1"/>
  <c r="M304" i="1"/>
  <c r="O304" i="1"/>
  <c r="M209" i="1"/>
  <c r="O358" i="1"/>
  <c r="S209" i="1"/>
  <c r="K209" i="1"/>
  <c r="O209" i="1"/>
  <c r="Q209" i="1"/>
  <c r="K358" i="1"/>
  <c r="M358" i="1"/>
  <c r="Q358" i="1"/>
  <c r="S358" i="1"/>
  <c r="U546" i="1"/>
  <c r="M525" i="1"/>
  <c r="S525" i="1"/>
  <c r="O525" i="1"/>
  <c r="Q525" i="1"/>
  <c r="K525" i="1"/>
  <c r="O374" i="1"/>
  <c r="K374" i="1"/>
  <c r="U371" i="1"/>
  <c r="M374" i="1"/>
  <c r="Q374" i="1"/>
  <c r="S374" i="1"/>
  <c r="S439" i="1"/>
  <c r="U276" i="1"/>
  <c r="O316" i="1"/>
  <c r="U405" i="1"/>
  <c r="K382" i="1"/>
  <c r="K316" i="1"/>
  <c r="O197" i="1"/>
  <c r="M316" i="1"/>
  <c r="S197" i="1"/>
  <c r="S316" i="1"/>
  <c r="K197" i="1"/>
  <c r="M233" i="1"/>
  <c r="U246" i="1"/>
  <c r="M166" i="1"/>
  <c r="M197" i="1"/>
  <c r="Q197" i="1"/>
  <c r="U316" i="1"/>
  <c r="U367" i="1"/>
  <c r="M382" i="1"/>
  <c r="K422" i="1"/>
  <c r="U543" i="1"/>
  <c r="M543" i="1"/>
  <c r="O166" i="1"/>
  <c r="O233" i="1"/>
  <c r="S382" i="1"/>
  <c r="O405" i="1"/>
  <c r="K439" i="1"/>
  <c r="O543" i="1"/>
  <c r="U233" i="1"/>
  <c r="M246" i="1"/>
  <c r="Q405" i="1"/>
  <c r="K410" i="1"/>
  <c r="U422" i="1"/>
  <c r="M439" i="1"/>
  <c r="U240" i="1"/>
  <c r="U102" i="1"/>
  <c r="Q166" i="1"/>
  <c r="Q233" i="1"/>
  <c r="O240" i="1"/>
  <c r="O382" i="1"/>
  <c r="U382" i="1"/>
  <c r="U374" i="1" s="1"/>
  <c r="K397" i="1"/>
  <c r="S397" i="1"/>
  <c r="K405" i="1"/>
  <c r="U410" i="1"/>
  <c r="O439" i="1"/>
  <c r="K543" i="1"/>
  <c r="S543" i="1"/>
  <c r="K166" i="1"/>
  <c r="S166" i="1"/>
  <c r="K233" i="1"/>
  <c r="S233" i="1"/>
  <c r="K246" i="1"/>
  <c r="S246" i="1"/>
  <c r="O269" i="1"/>
  <c r="K276" i="1"/>
  <c r="S276" i="1"/>
  <c r="Q382" i="1"/>
  <c r="U397" i="1"/>
  <c r="Q439" i="1"/>
  <c r="U135" i="1"/>
  <c r="M135" i="1"/>
  <c r="Q135" i="1"/>
  <c r="K135" i="1"/>
  <c r="O135" i="1"/>
  <c r="S135" i="1"/>
  <c r="U197" i="1"/>
  <c r="U393" i="1"/>
  <c r="Q543" i="1"/>
  <c r="Q240" i="1"/>
  <c r="K269" i="1"/>
  <c r="M405" i="1"/>
  <c r="U439" i="1"/>
  <c r="U209" i="1"/>
  <c r="Q269" i="1"/>
  <c r="U340" i="1"/>
  <c r="M397" i="1"/>
  <c r="S405" i="1"/>
  <c r="S269" i="1"/>
  <c r="M276" i="1"/>
  <c r="O397" i="1"/>
  <c r="U79" i="1"/>
  <c r="K240" i="1"/>
  <c r="O276" i="1"/>
  <c r="Q397" i="1"/>
  <c r="M410" i="1"/>
  <c r="M240" i="1"/>
  <c r="Q276" i="1"/>
  <c r="U334" i="1"/>
  <c r="Q573" i="1"/>
  <c r="O246" i="1"/>
  <c r="U269" i="1"/>
  <c r="S240" i="1"/>
  <c r="M340" i="1"/>
  <c r="Q340" i="1"/>
  <c r="K340" i="1"/>
  <c r="O340" i="1"/>
  <c r="S340" i="1"/>
  <c r="M269" i="1"/>
  <c r="U297" i="1"/>
  <c r="U70" i="1"/>
  <c r="Q246" i="1"/>
  <c r="K102" i="1"/>
  <c r="U525" i="1"/>
  <c r="U470" i="1" s="1"/>
  <c r="U573" i="1"/>
  <c r="Q334" i="1"/>
  <c r="U166" i="1"/>
  <c r="K573" i="1"/>
  <c r="O410" i="1"/>
  <c r="S70" i="1"/>
  <c r="K70" i="1"/>
  <c r="M266" i="1"/>
  <c r="Q266" i="1"/>
  <c r="U308" i="1"/>
  <c r="U304" i="1" s="1"/>
  <c r="O470" i="1"/>
  <c r="S470" i="1"/>
  <c r="O70" i="1"/>
  <c r="K308" i="1"/>
  <c r="U120" i="1"/>
  <c r="K266" i="1"/>
  <c r="U266" i="1"/>
  <c r="M367" i="1"/>
  <c r="Q367" i="1"/>
  <c r="K367" i="1"/>
  <c r="M70" i="1"/>
  <c r="Q70" i="1"/>
  <c r="O308" i="1"/>
  <c r="S308" i="1"/>
  <c r="M308" i="1"/>
  <c r="O266" i="1"/>
  <c r="S266" i="1"/>
  <c r="Q316" i="1"/>
  <c r="O367" i="1"/>
  <c r="S367" i="1"/>
  <c r="S410" i="1"/>
  <c r="M422" i="1"/>
  <c r="Q422" i="1"/>
  <c r="Q410" i="1"/>
  <c r="O422" i="1"/>
  <c r="S422" i="1"/>
  <c r="M573" i="1"/>
  <c r="M470" i="1"/>
  <c r="Q470" i="1"/>
  <c r="O573" i="1"/>
  <c r="S573" i="1"/>
  <c r="O102" i="1"/>
  <c r="S102" i="1"/>
  <c r="M102" i="1"/>
  <c r="Q102" i="1"/>
  <c r="Q308" i="1"/>
  <c r="Q557" i="1"/>
  <c r="Q546" i="1" s="1"/>
  <c r="Q603" i="1" l="1"/>
  <c r="O603" i="1"/>
  <c r="K603" i="1"/>
  <c r="S603" i="1"/>
  <c r="M603" i="1"/>
  <c r="U358" i="1"/>
  <c r="O177" i="2"/>
  <c r="M177" i="2"/>
  <c r="K177" i="2"/>
  <c r="I177" i="2"/>
  <c r="O181" i="2" l="1"/>
  <c r="M181" i="2"/>
  <c r="K181" i="2"/>
  <c r="I181" i="2"/>
  <c r="I229" i="2" l="1"/>
  <c r="I225" i="2"/>
  <c r="I221" i="2"/>
  <c r="I217" i="2"/>
  <c r="I213" i="2"/>
  <c r="I209" i="2"/>
  <c r="I205" i="2"/>
  <c r="I201" i="2"/>
  <c r="I197" i="2"/>
  <c r="I193" i="2"/>
  <c r="I189" i="2"/>
  <c r="I185" i="2"/>
  <c r="O255" i="2"/>
  <c r="M255" i="2"/>
  <c r="K255" i="2"/>
  <c r="I255" i="2"/>
  <c r="O251" i="2"/>
  <c r="M251" i="2"/>
  <c r="K251" i="2"/>
  <c r="I251" i="2"/>
  <c r="O245" i="2"/>
  <c r="M245" i="2"/>
  <c r="K245" i="2"/>
  <c r="I245" i="2"/>
  <c r="O241" i="2"/>
  <c r="M241" i="2"/>
  <c r="K241" i="2"/>
  <c r="I241" i="2"/>
  <c r="O237" i="2"/>
  <c r="M237" i="2"/>
  <c r="K237" i="2"/>
  <c r="I237" i="2"/>
  <c r="O233" i="2"/>
  <c r="M233" i="2"/>
  <c r="K233" i="2"/>
  <c r="I233" i="2"/>
  <c r="I15" i="2"/>
  <c r="K15" i="2"/>
  <c r="M15" i="2"/>
  <c r="O15" i="2"/>
  <c r="Q15" i="2"/>
  <c r="U15" i="2"/>
  <c r="I22" i="2"/>
  <c r="K22" i="2"/>
  <c r="M22" i="2"/>
  <c r="O22" i="2"/>
  <c r="I27" i="2"/>
  <c r="K27" i="2"/>
  <c r="M27" i="2"/>
  <c r="O27" i="2"/>
  <c r="I32" i="2"/>
  <c r="K32" i="2"/>
  <c r="M32" i="2"/>
  <c r="O32" i="2"/>
  <c r="I36" i="2"/>
  <c r="K36" i="2"/>
  <c r="M36" i="2"/>
  <c r="O36" i="2"/>
  <c r="I40" i="2"/>
  <c r="K40" i="2"/>
  <c r="M40" i="2"/>
  <c r="O40" i="2"/>
  <c r="I44" i="2"/>
  <c r="K44" i="2"/>
  <c r="M44" i="2"/>
  <c r="O44" i="2"/>
  <c r="I51" i="2"/>
  <c r="K51" i="2"/>
  <c r="M51" i="2"/>
  <c r="O51" i="2"/>
  <c r="I57" i="2"/>
  <c r="K57" i="2"/>
  <c r="M57" i="2"/>
  <c r="O57" i="2"/>
  <c r="I63" i="2"/>
  <c r="K63" i="2"/>
  <c r="M63" i="2"/>
  <c r="O63" i="2"/>
  <c r="I68" i="2"/>
  <c r="K68" i="2"/>
  <c r="M68" i="2"/>
  <c r="O68" i="2"/>
  <c r="I73" i="2"/>
  <c r="K73" i="2"/>
  <c r="M73" i="2"/>
  <c r="O73" i="2"/>
  <c r="I78" i="2"/>
  <c r="K78" i="2"/>
  <c r="M78" i="2"/>
  <c r="O78" i="2"/>
  <c r="I83" i="2"/>
  <c r="K83" i="2"/>
  <c r="M83" i="2"/>
  <c r="O83" i="2"/>
  <c r="I88" i="2"/>
  <c r="K88" i="2"/>
  <c r="M88" i="2"/>
  <c r="O88" i="2"/>
  <c r="I93" i="2"/>
  <c r="K93" i="2"/>
  <c r="M93" i="2"/>
  <c r="O93" i="2"/>
  <c r="I98" i="2"/>
  <c r="I103" i="2"/>
  <c r="I108" i="2"/>
  <c r="I112" i="2"/>
  <c r="K112" i="2"/>
  <c r="M112" i="2"/>
  <c r="O112" i="2"/>
  <c r="I116" i="2"/>
  <c r="K116" i="2"/>
  <c r="M116" i="2"/>
  <c r="O116" i="2"/>
  <c r="I120" i="2"/>
  <c r="K120" i="2"/>
  <c r="M120" i="2"/>
  <c r="O120" i="2"/>
  <c r="I124" i="2"/>
  <c r="K124" i="2"/>
  <c r="M124" i="2"/>
  <c r="O124" i="2"/>
  <c r="I128" i="2"/>
  <c r="K128" i="2"/>
  <c r="M128" i="2"/>
  <c r="O128" i="2"/>
  <c r="I132" i="2"/>
  <c r="K132" i="2"/>
  <c r="M132" i="2"/>
  <c r="O132" i="2"/>
  <c r="I136" i="2"/>
  <c r="K136" i="2"/>
  <c r="M136" i="2"/>
  <c r="O136" i="2"/>
  <c r="I140" i="2"/>
  <c r="K140" i="2"/>
  <c r="M140" i="2"/>
  <c r="O140" i="2"/>
  <c r="I144" i="2"/>
  <c r="K144" i="2"/>
  <c r="M144" i="2"/>
  <c r="O144" i="2"/>
  <c r="I148" i="2"/>
  <c r="K148" i="2"/>
  <c r="M148" i="2"/>
  <c r="O148" i="2"/>
  <c r="I152" i="2"/>
  <c r="K152" i="2"/>
  <c r="M152" i="2"/>
  <c r="O152" i="2"/>
  <c r="I156" i="2"/>
  <c r="K156" i="2"/>
  <c r="M156" i="2"/>
  <c r="O156" i="2"/>
  <c r="I160" i="2"/>
  <c r="K160" i="2"/>
  <c r="M160" i="2"/>
  <c r="O160" i="2"/>
  <c r="I164" i="2"/>
  <c r="K164" i="2"/>
  <c r="M164" i="2"/>
  <c r="O164" i="2"/>
  <c r="I169" i="2"/>
  <c r="K169" i="2"/>
  <c r="M169" i="2"/>
  <c r="O169" i="2"/>
  <c r="I173" i="2"/>
  <c r="K173" i="2"/>
  <c r="M173" i="2"/>
  <c r="O173" i="2"/>
  <c r="I259"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Certified Windows</author>
    <author xml:space="preserve"> </author>
  </authors>
  <commentList>
    <comment ref="AI71" authorId="0" shapeId="0" xr:uid="{00000000-0006-0000-0000-000001000000}">
      <text>
        <r>
          <rPr>
            <b/>
            <sz val="9"/>
            <color indexed="81"/>
            <rFont val="Tahoma"/>
            <family val="2"/>
            <charset val="204"/>
          </rPr>
          <t>Certified Windows:</t>
        </r>
        <r>
          <rPr>
            <sz val="9"/>
            <color indexed="81"/>
            <rFont val="Tahoma"/>
            <family val="2"/>
            <charset val="204"/>
          </rPr>
          <t xml:space="preserve">
</t>
        </r>
      </text>
    </comment>
    <comment ref="AH72" authorId="0" shapeId="0" xr:uid="{00000000-0006-0000-0000-000002000000}">
      <text>
        <r>
          <rPr>
            <b/>
            <sz val="9"/>
            <color indexed="81"/>
            <rFont val="Tahoma"/>
            <family val="2"/>
            <charset val="204"/>
          </rPr>
          <t>98*63*36</t>
        </r>
      </text>
    </comment>
    <comment ref="AH73" authorId="0" shapeId="0" xr:uid="{00000000-0006-0000-0000-000003000000}">
      <text>
        <r>
          <rPr>
            <b/>
            <sz val="9"/>
            <color indexed="81"/>
            <rFont val="Tahoma"/>
            <family val="2"/>
            <charset val="204"/>
          </rPr>
          <t>98*63*36</t>
        </r>
      </text>
    </comment>
    <comment ref="AH88" authorId="1" shapeId="0" xr:uid="{00000000-0006-0000-0000-000004000000}">
      <text>
        <r>
          <rPr>
            <b/>
            <sz val="9"/>
            <color indexed="8"/>
            <rFont val="Tahoma"/>
            <family val="2"/>
            <charset val="204"/>
          </rPr>
          <t xml:space="preserve">144*56*28 - пластик
</t>
        </r>
      </text>
    </comment>
    <comment ref="AX88" authorId="1" shapeId="0" xr:uid="{00000000-0006-0000-0000-000005000000}">
      <text>
        <r>
          <rPr>
            <b/>
            <sz val="9"/>
            <color indexed="8"/>
            <rFont val="Tahoma"/>
            <family val="2"/>
            <charset val="204"/>
          </rPr>
          <t xml:space="preserve">144*56*28 - пластик
</t>
        </r>
      </text>
    </comment>
    <comment ref="AH89" authorId="0" shapeId="0" xr:uid="{00000000-0006-0000-0000-000006000000}">
      <text>
        <r>
          <rPr>
            <b/>
            <sz val="9"/>
            <color indexed="81"/>
            <rFont val="Tahoma"/>
            <family val="2"/>
            <charset val="204"/>
          </rPr>
          <t>98*63*36</t>
        </r>
      </text>
    </comment>
    <comment ref="AH90" authorId="0" shapeId="0" xr:uid="{00000000-0006-0000-0000-000007000000}">
      <text>
        <r>
          <rPr>
            <b/>
            <sz val="9"/>
            <color indexed="81"/>
            <rFont val="Tahoma"/>
            <family val="2"/>
            <charset val="204"/>
          </rPr>
          <t>98*63*36</t>
        </r>
      </text>
    </comment>
    <comment ref="AH91" authorId="0" shapeId="0" xr:uid="{00000000-0006-0000-0000-000008000000}">
      <text>
        <r>
          <rPr>
            <b/>
            <sz val="9"/>
            <color indexed="81"/>
            <rFont val="Tahoma"/>
            <family val="2"/>
            <charset val="204"/>
          </rPr>
          <t>98*63*36</t>
        </r>
      </text>
    </comment>
    <comment ref="AH97" authorId="0" shapeId="0" xr:uid="{00000000-0006-0000-0000-000009000000}">
      <text>
        <r>
          <rPr>
            <b/>
            <sz val="9"/>
            <color indexed="81"/>
            <rFont val="Tahoma"/>
            <family val="2"/>
            <charset val="204"/>
          </rPr>
          <t>98*63*36</t>
        </r>
      </text>
    </comment>
    <comment ref="AH103" authorId="0" shapeId="0" xr:uid="{00000000-0006-0000-0000-00000A000000}">
      <text>
        <r>
          <rPr>
            <b/>
            <sz val="9"/>
            <color indexed="81"/>
            <rFont val="Tahoma"/>
            <family val="2"/>
            <charset val="204"/>
          </rPr>
          <t>98*63*36</t>
        </r>
      </text>
    </comment>
    <comment ref="AH108" authorId="0" shapeId="0" xr:uid="{00000000-0006-0000-0000-00000B000000}">
      <text>
        <r>
          <rPr>
            <b/>
            <sz val="9"/>
            <color indexed="81"/>
            <rFont val="Tahoma"/>
            <family val="2"/>
            <charset val="204"/>
          </rPr>
          <t>98*63*36</t>
        </r>
      </text>
    </comment>
    <comment ref="AH116" authorId="0" shapeId="0" xr:uid="{00000000-0006-0000-0000-00000C000000}">
      <text>
        <r>
          <rPr>
            <b/>
            <sz val="9"/>
            <color indexed="81"/>
            <rFont val="Tahoma"/>
            <family val="2"/>
            <charset val="204"/>
          </rPr>
          <t>170*63*36-плоский 200 мл укр</t>
        </r>
        <r>
          <rPr>
            <sz val="9"/>
            <color indexed="81"/>
            <rFont val="Tahoma"/>
            <family val="2"/>
            <charset val="204"/>
          </rPr>
          <t xml:space="preserve">
</t>
        </r>
      </text>
    </comment>
    <comment ref="AH117" authorId="0" shapeId="0" xr:uid="{00000000-0006-0000-0000-00000D000000}">
      <text>
        <r>
          <rPr>
            <b/>
            <sz val="9"/>
            <color indexed="81"/>
            <rFont val="Tahoma"/>
            <family val="2"/>
            <charset val="204"/>
          </rPr>
          <t>98*63*36</t>
        </r>
      </text>
    </comment>
    <comment ref="AH129" authorId="0" shapeId="0" xr:uid="{00000000-0006-0000-0000-00000E000000}">
      <text>
        <r>
          <rPr>
            <b/>
            <sz val="9"/>
            <color indexed="81"/>
            <rFont val="Tahoma"/>
            <family val="2"/>
            <charset val="204"/>
          </rPr>
          <t>98*63*36</t>
        </r>
      </text>
    </comment>
    <comment ref="BH134" authorId="1" shapeId="0" xr:uid="{00000000-0006-0000-0000-00000F000000}">
      <text>
        <r>
          <rPr>
            <b/>
            <sz val="9"/>
            <color indexed="8"/>
            <rFont val="Tahoma"/>
            <family val="2"/>
            <charset val="204"/>
          </rPr>
          <t>Каждый флакон в пузырчатой пленке</t>
        </r>
      </text>
    </comment>
    <comment ref="AH137" authorId="0" shapeId="0" xr:uid="{00000000-0006-0000-0000-000010000000}">
      <text>
        <r>
          <rPr>
            <b/>
            <sz val="9"/>
            <color indexed="81"/>
            <rFont val="Tahoma"/>
            <family val="2"/>
            <charset val="204"/>
          </rPr>
          <t>98*63*36</t>
        </r>
      </text>
    </comment>
    <comment ref="AH144" authorId="0" shapeId="0" xr:uid="{00000000-0006-0000-0000-000011000000}">
      <text>
        <r>
          <rPr>
            <b/>
            <sz val="9"/>
            <color indexed="81"/>
            <rFont val="Tahoma"/>
            <family val="2"/>
            <charset val="204"/>
          </rPr>
          <t>160*64*36 - плоский флакон</t>
        </r>
      </text>
    </comment>
    <comment ref="BH148" authorId="1" shapeId="0" xr:uid="{00000000-0006-0000-0000-000012000000}">
      <text>
        <r>
          <rPr>
            <b/>
            <sz val="9"/>
            <color indexed="8"/>
            <rFont val="Tahoma"/>
            <family val="2"/>
            <charset val="204"/>
          </rPr>
          <t>Каждый флакон в пузырчатой пленке</t>
        </r>
      </text>
    </comment>
    <comment ref="AH150" authorId="0" shapeId="0" xr:uid="{00000000-0006-0000-0000-000013000000}">
      <text>
        <r>
          <rPr>
            <b/>
            <sz val="9"/>
            <color indexed="81"/>
            <rFont val="Tahoma"/>
            <family val="2"/>
            <charset val="204"/>
          </rPr>
          <t>98*63*36</t>
        </r>
      </text>
    </comment>
    <comment ref="AH157" authorId="0" shapeId="0" xr:uid="{00000000-0006-0000-0000-000014000000}">
      <text>
        <r>
          <rPr>
            <b/>
            <sz val="9"/>
            <color indexed="81"/>
            <rFont val="Tahoma"/>
            <family val="2"/>
            <charset val="204"/>
          </rPr>
          <t>98*63*36</t>
        </r>
      </text>
    </comment>
    <comment ref="BH162" authorId="1" shapeId="0" xr:uid="{00000000-0006-0000-0000-000015000000}">
      <text>
        <r>
          <rPr>
            <b/>
            <sz val="9"/>
            <color indexed="8"/>
            <rFont val="Tahoma"/>
            <family val="2"/>
            <charset val="204"/>
          </rPr>
          <t>Каждый флакон в пузырчатой пленке</t>
        </r>
      </text>
    </comment>
    <comment ref="AH168" authorId="0" shapeId="0" xr:uid="{00000000-0006-0000-0000-000016000000}">
      <text>
        <r>
          <rPr>
            <b/>
            <sz val="9"/>
            <color indexed="81"/>
            <rFont val="Tahoma"/>
            <family val="2"/>
            <charset val="204"/>
          </rPr>
          <t>146*51*29 - плоский флакон укр</t>
        </r>
      </text>
    </comment>
    <comment ref="BH174" authorId="1" shapeId="0" xr:uid="{00000000-0006-0000-0000-000017000000}">
      <text>
        <r>
          <rPr>
            <b/>
            <sz val="9"/>
            <color indexed="8"/>
            <rFont val="Tahoma"/>
            <family val="2"/>
            <charset val="204"/>
          </rPr>
          <t>Каждый флакон в пузырчатой пленке</t>
        </r>
      </text>
    </comment>
    <comment ref="AH178" authorId="0" shapeId="0" xr:uid="{00000000-0006-0000-0000-000018000000}">
      <text>
        <r>
          <rPr>
            <b/>
            <sz val="9"/>
            <color indexed="81"/>
            <rFont val="Tahoma"/>
            <family val="2"/>
            <charset val="204"/>
          </rPr>
          <t>136*51*34 плоский укр</t>
        </r>
        <r>
          <rPr>
            <sz val="9"/>
            <color indexed="81"/>
            <rFont val="Tahoma"/>
            <family val="2"/>
            <charset val="204"/>
          </rPr>
          <t xml:space="preserve">
</t>
        </r>
      </text>
    </comment>
    <comment ref="BH182" authorId="1" shapeId="0" xr:uid="{00000000-0006-0000-0000-000019000000}">
      <text>
        <r>
          <rPr>
            <b/>
            <sz val="9"/>
            <color indexed="8"/>
            <rFont val="Tahoma"/>
            <family val="2"/>
            <charset val="204"/>
          </rPr>
          <t>Каждый флакон в пузырчатой пленке</t>
        </r>
      </text>
    </comment>
    <comment ref="AH188" authorId="0" shapeId="0" xr:uid="{00000000-0006-0000-0000-00001A000000}">
      <text>
        <r>
          <rPr>
            <b/>
            <sz val="9"/>
            <color indexed="81"/>
            <rFont val="Tahoma"/>
            <family val="2"/>
            <charset val="204"/>
          </rPr>
          <t>98*63*36</t>
        </r>
      </text>
    </comment>
    <comment ref="BH190" authorId="1" shapeId="0" xr:uid="{00000000-0006-0000-0000-00001C000000}">
      <text>
        <r>
          <rPr>
            <b/>
            <sz val="9"/>
            <color indexed="8"/>
            <rFont val="Tahoma"/>
            <family val="2"/>
            <charset val="204"/>
          </rPr>
          <t>Каждый флакон в пузырчатой пленке</t>
        </r>
      </text>
    </comment>
    <comment ref="BH191" authorId="1" shapeId="0" xr:uid="{00000000-0006-0000-0000-00001D000000}">
      <text>
        <r>
          <rPr>
            <b/>
            <sz val="9"/>
            <color indexed="8"/>
            <rFont val="Tahoma"/>
            <family val="2"/>
            <charset val="204"/>
          </rPr>
          <t>Каждый флакон в пузырчатой пленке</t>
        </r>
      </text>
    </comment>
    <comment ref="AH212" authorId="0" shapeId="0" xr:uid="{00000000-0006-0000-0000-00001E000000}">
      <text>
        <r>
          <rPr>
            <b/>
            <sz val="9"/>
            <color indexed="81"/>
            <rFont val="Tahoma"/>
            <family val="2"/>
            <charset val="204"/>
          </rPr>
          <t>158*58*58 укр</t>
        </r>
      </text>
    </comment>
    <comment ref="AH220" authorId="0" shapeId="0" xr:uid="{00000000-0006-0000-0000-00001F000000}">
      <text>
        <r>
          <rPr>
            <b/>
            <sz val="9"/>
            <color indexed="81"/>
            <rFont val="Tahoma"/>
            <family val="2"/>
            <charset val="204"/>
          </rPr>
          <t>160*64*36 укр 200 мл</t>
        </r>
      </text>
    </comment>
    <comment ref="AH221" authorId="0" shapeId="0" xr:uid="{00000000-0006-0000-0000-000020000000}">
      <text>
        <r>
          <rPr>
            <b/>
            <sz val="9"/>
            <color indexed="81"/>
            <rFont val="Tahoma"/>
            <family val="2"/>
            <charset val="204"/>
          </rPr>
          <t>160*64*36 укр 200 мл</t>
        </r>
      </text>
    </comment>
    <comment ref="AH222" authorId="0" shapeId="0" xr:uid="{00000000-0006-0000-0000-000021000000}">
      <text>
        <r>
          <rPr>
            <b/>
            <sz val="9"/>
            <color indexed="81"/>
            <rFont val="Tahoma"/>
            <family val="2"/>
            <charset val="204"/>
          </rPr>
          <t>160*64*36 укр 200 мл</t>
        </r>
      </text>
    </comment>
    <comment ref="AH223" authorId="0" shapeId="0" xr:uid="{00000000-0006-0000-0000-000022000000}">
      <text>
        <r>
          <rPr>
            <b/>
            <sz val="9"/>
            <color indexed="81"/>
            <rFont val="Tahoma"/>
            <family val="2"/>
            <charset val="204"/>
          </rPr>
          <t>160*64*36 укр 200 мл</t>
        </r>
      </text>
    </comment>
    <comment ref="AH224" authorId="0" shapeId="0" xr:uid="{00000000-0006-0000-0000-000023000000}">
      <text>
        <r>
          <rPr>
            <b/>
            <sz val="9"/>
            <color indexed="81"/>
            <rFont val="Tahoma"/>
            <family val="2"/>
            <charset val="204"/>
          </rPr>
          <t>158*57*57 укр 250 мл пузат</t>
        </r>
        <r>
          <rPr>
            <sz val="9"/>
            <color indexed="81"/>
            <rFont val="Tahoma"/>
            <family val="2"/>
            <charset val="204"/>
          </rPr>
          <t xml:space="preserve">
</t>
        </r>
      </text>
    </comment>
    <comment ref="AH225" authorId="0" shapeId="0" xr:uid="{00000000-0006-0000-0000-000024000000}">
      <text>
        <r>
          <rPr>
            <b/>
            <sz val="9"/>
            <color indexed="81"/>
            <rFont val="Tahoma"/>
            <family val="2"/>
            <charset val="204"/>
          </rPr>
          <t>158*57*57 укр 250 мл пузат</t>
        </r>
        <r>
          <rPr>
            <sz val="9"/>
            <color indexed="81"/>
            <rFont val="Tahoma"/>
            <family val="2"/>
            <charset val="204"/>
          </rPr>
          <t xml:space="preserve">
</t>
        </r>
      </text>
    </comment>
    <comment ref="AH227" authorId="0" shapeId="0" xr:uid="{00000000-0006-0000-0000-000025000000}">
      <text>
        <r>
          <rPr>
            <b/>
            <sz val="9"/>
            <color indexed="81"/>
            <rFont val="Tahoma"/>
            <family val="2"/>
            <charset val="204"/>
          </rPr>
          <t>133*43*43:</t>
        </r>
        <r>
          <rPr>
            <sz val="9"/>
            <color indexed="81"/>
            <rFont val="Tahoma"/>
            <family val="2"/>
            <charset val="204"/>
          </rPr>
          <t xml:space="preserve">
</t>
        </r>
      </text>
    </comment>
    <comment ref="AH228" authorId="0" shapeId="0" xr:uid="{00000000-0006-0000-0000-000026000000}">
      <text>
        <r>
          <rPr>
            <b/>
            <sz val="9"/>
            <color indexed="81"/>
            <rFont val="Tahoma"/>
            <family val="2"/>
            <charset val="204"/>
          </rPr>
          <t>133*43*43:</t>
        </r>
        <r>
          <rPr>
            <sz val="9"/>
            <color indexed="81"/>
            <rFont val="Tahoma"/>
            <family val="2"/>
            <charset val="204"/>
          </rPr>
          <t xml:space="preserve">
</t>
        </r>
      </text>
    </comment>
    <comment ref="AH229" authorId="0" shapeId="0" xr:uid="{00000000-0006-0000-0000-000027000000}">
      <text>
        <r>
          <rPr>
            <b/>
            <sz val="9"/>
            <color indexed="81"/>
            <rFont val="Tahoma"/>
            <family val="2"/>
            <charset val="204"/>
          </rPr>
          <t>133*43*43:</t>
        </r>
        <r>
          <rPr>
            <sz val="9"/>
            <color indexed="81"/>
            <rFont val="Tahoma"/>
            <family val="2"/>
            <charset val="204"/>
          </rPr>
          <t xml:space="preserve">
</t>
        </r>
      </text>
    </comment>
    <comment ref="AH230" authorId="0" shapeId="0" xr:uid="{00000000-0006-0000-0000-000028000000}">
      <text>
        <r>
          <rPr>
            <b/>
            <sz val="9"/>
            <color indexed="81"/>
            <rFont val="Tahoma"/>
            <family val="2"/>
            <charset val="204"/>
          </rPr>
          <t>133*43*43:</t>
        </r>
        <r>
          <rPr>
            <sz val="9"/>
            <color indexed="81"/>
            <rFont val="Tahoma"/>
            <family val="2"/>
            <charset val="204"/>
          </rPr>
          <t xml:space="preserve">
</t>
        </r>
      </text>
    </comment>
    <comment ref="T247" authorId="0" shapeId="0" xr:uid="{00000000-0006-0000-0000-000029000000}">
      <text>
        <r>
          <rPr>
            <b/>
            <sz val="9"/>
            <color indexed="81"/>
            <rFont val="Tahoma"/>
            <family val="2"/>
            <charset val="204"/>
          </rPr>
          <t>195 - стекло
124 пластик</t>
        </r>
      </text>
    </comment>
    <comment ref="AH247" authorId="0" shapeId="0" xr:uid="{00000000-0006-0000-0000-00002A000000}">
      <text>
        <r>
          <rPr>
            <b/>
            <sz val="9"/>
            <color indexed="81"/>
            <rFont val="Tahoma"/>
            <family val="2"/>
            <charset val="204"/>
          </rPr>
          <t>140*45 - стекло
148*38*38 пластик</t>
        </r>
        <r>
          <rPr>
            <sz val="9"/>
            <color indexed="81"/>
            <rFont val="Tahoma"/>
            <family val="2"/>
            <charset val="204"/>
          </rPr>
          <t xml:space="preserve">
</t>
        </r>
      </text>
    </comment>
    <comment ref="T248" authorId="0" shapeId="0" xr:uid="{00000000-0006-0000-0000-00002B000000}">
      <text>
        <r>
          <rPr>
            <b/>
            <sz val="9"/>
            <color indexed="81"/>
            <rFont val="Tahoma"/>
            <family val="2"/>
            <charset val="204"/>
          </rPr>
          <t>195 - стекло
124 пластик</t>
        </r>
      </text>
    </comment>
    <comment ref="AH248" authorId="0" shapeId="0" xr:uid="{00000000-0006-0000-0000-00002C000000}">
      <text>
        <r>
          <rPr>
            <b/>
            <sz val="9"/>
            <color indexed="81"/>
            <rFont val="Tahoma"/>
            <family val="2"/>
            <charset val="204"/>
          </rPr>
          <t>140*45 - стекло
148*38*38 пластик</t>
        </r>
        <r>
          <rPr>
            <sz val="9"/>
            <color indexed="81"/>
            <rFont val="Tahoma"/>
            <family val="2"/>
            <charset val="204"/>
          </rPr>
          <t xml:space="preserve">
</t>
        </r>
      </text>
    </comment>
    <comment ref="T249" authorId="0" shapeId="0" xr:uid="{00000000-0006-0000-0000-00002D000000}">
      <text>
        <r>
          <rPr>
            <b/>
            <sz val="9"/>
            <color indexed="81"/>
            <rFont val="Tahoma"/>
            <family val="2"/>
            <charset val="204"/>
          </rPr>
          <t>195 - стекло
124 пластик</t>
        </r>
      </text>
    </comment>
    <comment ref="AH249" authorId="0" shapeId="0" xr:uid="{00000000-0006-0000-0000-00002E000000}">
      <text>
        <r>
          <rPr>
            <b/>
            <sz val="9"/>
            <color indexed="81"/>
            <rFont val="Tahoma"/>
            <family val="2"/>
            <charset val="204"/>
          </rPr>
          <t>140*45 - стекло
148*38*38 пластик</t>
        </r>
        <r>
          <rPr>
            <sz val="9"/>
            <color indexed="81"/>
            <rFont val="Tahoma"/>
            <family val="2"/>
            <charset val="204"/>
          </rPr>
          <t xml:space="preserve">
</t>
        </r>
      </text>
    </comment>
    <comment ref="T250" authorId="0" shapeId="0" xr:uid="{00000000-0006-0000-0000-00002F000000}">
      <text>
        <r>
          <rPr>
            <b/>
            <sz val="9"/>
            <color indexed="81"/>
            <rFont val="Tahoma"/>
            <family val="2"/>
            <charset val="204"/>
          </rPr>
          <t>195 - стекло
124 пластик</t>
        </r>
      </text>
    </comment>
    <comment ref="AH250" authorId="0" shapeId="0" xr:uid="{00000000-0006-0000-0000-000030000000}">
      <text>
        <r>
          <rPr>
            <b/>
            <sz val="9"/>
            <color indexed="81"/>
            <rFont val="Tahoma"/>
            <family val="2"/>
            <charset val="204"/>
          </rPr>
          <t>140*45 - стекло
148*38*38 пластик</t>
        </r>
        <r>
          <rPr>
            <sz val="9"/>
            <color indexed="81"/>
            <rFont val="Tahoma"/>
            <family val="2"/>
            <charset val="204"/>
          </rPr>
          <t xml:space="preserve">
</t>
        </r>
      </text>
    </comment>
    <comment ref="T251" authorId="0" shapeId="0" xr:uid="{00000000-0006-0000-0000-000031000000}">
      <text>
        <r>
          <rPr>
            <b/>
            <sz val="9"/>
            <color indexed="81"/>
            <rFont val="Tahoma"/>
            <family val="2"/>
            <charset val="204"/>
          </rPr>
          <t>195 - стекло
124 пластик</t>
        </r>
      </text>
    </comment>
    <comment ref="AH251" authorId="0" shapeId="0" xr:uid="{00000000-0006-0000-0000-000032000000}">
      <text>
        <r>
          <rPr>
            <b/>
            <sz val="9"/>
            <color indexed="81"/>
            <rFont val="Tahoma"/>
            <family val="2"/>
            <charset val="204"/>
          </rPr>
          <t>140*45 - стекло
148*38*38 пластик</t>
        </r>
        <r>
          <rPr>
            <sz val="9"/>
            <color indexed="81"/>
            <rFont val="Tahoma"/>
            <family val="2"/>
            <charset val="204"/>
          </rPr>
          <t xml:space="preserve">
</t>
        </r>
      </text>
    </comment>
    <comment ref="T252" authorId="0" shapeId="0" xr:uid="{00000000-0006-0000-0000-000033000000}">
      <text>
        <r>
          <rPr>
            <b/>
            <sz val="9"/>
            <color indexed="81"/>
            <rFont val="Tahoma"/>
            <family val="2"/>
            <charset val="204"/>
          </rPr>
          <t>195 - стекло
124 пластик</t>
        </r>
      </text>
    </comment>
    <comment ref="AH252" authorId="0" shapeId="0" xr:uid="{00000000-0006-0000-0000-000034000000}">
      <text>
        <r>
          <rPr>
            <b/>
            <sz val="9"/>
            <color indexed="81"/>
            <rFont val="Tahoma"/>
            <family val="2"/>
            <charset val="204"/>
          </rPr>
          <t>140*45 - стекло
148*38*38 пластик</t>
        </r>
        <r>
          <rPr>
            <sz val="9"/>
            <color indexed="81"/>
            <rFont val="Tahoma"/>
            <family val="2"/>
            <charset val="204"/>
          </rPr>
          <t xml:space="preserve">
</t>
        </r>
      </text>
    </comment>
    <comment ref="T253" authorId="0" shapeId="0" xr:uid="{00000000-0006-0000-0000-000035000000}">
      <text>
        <r>
          <rPr>
            <b/>
            <sz val="9"/>
            <color indexed="81"/>
            <rFont val="Tahoma"/>
            <family val="2"/>
            <charset val="204"/>
          </rPr>
          <t>195 - стекло
124 пластик</t>
        </r>
      </text>
    </comment>
    <comment ref="AH253" authorId="0" shapeId="0" xr:uid="{00000000-0006-0000-0000-000036000000}">
      <text>
        <r>
          <rPr>
            <b/>
            <sz val="9"/>
            <color indexed="81"/>
            <rFont val="Tahoma"/>
            <family val="2"/>
            <charset val="204"/>
          </rPr>
          <t>140*45 - стекло
148*38*38 пластик</t>
        </r>
        <r>
          <rPr>
            <sz val="9"/>
            <color indexed="81"/>
            <rFont val="Tahoma"/>
            <family val="2"/>
            <charset val="204"/>
          </rPr>
          <t xml:space="preserve">
</t>
        </r>
      </text>
    </comment>
    <comment ref="T254" authorId="0" shapeId="0" xr:uid="{00000000-0006-0000-0000-000037000000}">
      <text>
        <r>
          <rPr>
            <b/>
            <sz val="9"/>
            <color indexed="81"/>
            <rFont val="Tahoma"/>
            <family val="2"/>
            <charset val="204"/>
          </rPr>
          <t>195 - стекло
124 пластик</t>
        </r>
      </text>
    </comment>
    <comment ref="AH254" authorId="0" shapeId="0" xr:uid="{00000000-0006-0000-0000-000038000000}">
      <text>
        <r>
          <rPr>
            <b/>
            <sz val="9"/>
            <color indexed="81"/>
            <rFont val="Tahoma"/>
            <family val="2"/>
            <charset val="204"/>
          </rPr>
          <t>140*45 - стекло
148*38*38 пластик</t>
        </r>
        <r>
          <rPr>
            <sz val="9"/>
            <color indexed="81"/>
            <rFont val="Tahoma"/>
            <family val="2"/>
            <charset val="204"/>
          </rPr>
          <t xml:space="preserve">
</t>
        </r>
      </text>
    </comment>
    <comment ref="T255" authorId="0" shapeId="0" xr:uid="{00000000-0006-0000-0000-000039000000}">
      <text>
        <r>
          <rPr>
            <b/>
            <sz val="9"/>
            <color indexed="81"/>
            <rFont val="Tahoma"/>
            <family val="2"/>
            <charset val="204"/>
          </rPr>
          <t>195 - стекло
124 пластик</t>
        </r>
      </text>
    </comment>
    <comment ref="AH255" authorId="0" shapeId="0" xr:uid="{00000000-0006-0000-0000-00003A000000}">
      <text>
        <r>
          <rPr>
            <b/>
            <sz val="9"/>
            <color indexed="81"/>
            <rFont val="Tahoma"/>
            <family val="2"/>
            <charset val="204"/>
          </rPr>
          <t>140*45 - стекло
148*38*38 пластик</t>
        </r>
        <r>
          <rPr>
            <sz val="9"/>
            <color indexed="81"/>
            <rFont val="Tahoma"/>
            <family val="2"/>
            <charset val="204"/>
          </rPr>
          <t xml:space="preserve">
</t>
        </r>
      </text>
    </comment>
    <comment ref="T256" authorId="0" shapeId="0" xr:uid="{00000000-0006-0000-0000-00003B000000}">
      <text>
        <r>
          <rPr>
            <b/>
            <sz val="9"/>
            <color indexed="81"/>
            <rFont val="Tahoma"/>
            <family val="2"/>
            <charset val="204"/>
          </rPr>
          <t>195 - стекло
124 пластик</t>
        </r>
      </text>
    </comment>
    <comment ref="AH256" authorId="0" shapeId="0" xr:uid="{00000000-0006-0000-0000-00003C000000}">
      <text>
        <r>
          <rPr>
            <b/>
            <sz val="9"/>
            <color indexed="81"/>
            <rFont val="Tahoma"/>
            <family val="2"/>
            <charset val="204"/>
          </rPr>
          <t>140*45 - стекло
148*38*38 пластик</t>
        </r>
        <r>
          <rPr>
            <sz val="9"/>
            <color indexed="81"/>
            <rFont val="Tahoma"/>
            <family val="2"/>
            <charset val="204"/>
          </rPr>
          <t xml:space="preserve">
</t>
        </r>
      </text>
    </comment>
    <comment ref="T257" authorId="0" shapeId="0" xr:uid="{00000000-0006-0000-0000-00003D000000}">
      <text>
        <r>
          <rPr>
            <b/>
            <sz val="9"/>
            <color indexed="81"/>
            <rFont val="Tahoma"/>
            <family val="2"/>
            <charset val="204"/>
          </rPr>
          <t>195 - стекло
124 пластик</t>
        </r>
      </text>
    </comment>
    <comment ref="AH257" authorId="0" shapeId="0" xr:uid="{00000000-0006-0000-0000-00003E000000}">
      <text>
        <r>
          <rPr>
            <b/>
            <sz val="9"/>
            <color indexed="81"/>
            <rFont val="Tahoma"/>
            <family val="2"/>
            <charset val="204"/>
          </rPr>
          <t>140*45 - стекло
148*38*38 пластик</t>
        </r>
        <r>
          <rPr>
            <sz val="9"/>
            <color indexed="81"/>
            <rFont val="Tahoma"/>
            <family val="2"/>
            <charset val="204"/>
          </rPr>
          <t xml:space="preserve">
</t>
        </r>
      </text>
    </comment>
    <comment ref="T258" authorId="0" shapeId="0" xr:uid="{00000000-0006-0000-0000-00003F000000}">
      <text>
        <r>
          <rPr>
            <b/>
            <sz val="9"/>
            <color indexed="81"/>
            <rFont val="Tahoma"/>
            <family val="2"/>
            <charset val="204"/>
          </rPr>
          <t>195 - стекло
124 пластик</t>
        </r>
      </text>
    </comment>
    <comment ref="AH258" authorId="0" shapeId="0" xr:uid="{00000000-0006-0000-0000-000040000000}">
      <text>
        <r>
          <rPr>
            <b/>
            <sz val="9"/>
            <color indexed="81"/>
            <rFont val="Tahoma"/>
            <family val="2"/>
            <charset val="204"/>
          </rPr>
          <t>140*45 - стекло
148*38*38 пластик</t>
        </r>
        <r>
          <rPr>
            <sz val="9"/>
            <color indexed="81"/>
            <rFont val="Tahoma"/>
            <family val="2"/>
            <charset val="204"/>
          </rPr>
          <t xml:space="preserve">
</t>
        </r>
      </text>
    </comment>
    <comment ref="T259" authorId="0" shapeId="0" xr:uid="{00000000-0006-0000-0000-000041000000}">
      <text>
        <r>
          <rPr>
            <b/>
            <sz val="9"/>
            <color indexed="81"/>
            <rFont val="Tahoma"/>
            <family val="2"/>
            <charset val="204"/>
          </rPr>
          <t>195 - стекло
124 пластик</t>
        </r>
      </text>
    </comment>
    <comment ref="AH259" authorId="0" shapeId="0" xr:uid="{00000000-0006-0000-0000-000042000000}">
      <text>
        <r>
          <rPr>
            <b/>
            <sz val="9"/>
            <color indexed="81"/>
            <rFont val="Tahoma"/>
            <family val="2"/>
            <charset val="204"/>
          </rPr>
          <t>140*45 - стекло
148*38*38 пластик</t>
        </r>
        <r>
          <rPr>
            <sz val="9"/>
            <color indexed="81"/>
            <rFont val="Tahoma"/>
            <family val="2"/>
            <charset val="204"/>
          </rPr>
          <t xml:space="preserve">
</t>
        </r>
      </text>
    </comment>
    <comment ref="T260" authorId="0" shapeId="0" xr:uid="{00000000-0006-0000-0000-000043000000}">
      <text>
        <r>
          <rPr>
            <b/>
            <sz val="9"/>
            <color indexed="81"/>
            <rFont val="Tahoma"/>
            <family val="2"/>
            <charset val="204"/>
          </rPr>
          <t>195 - стекло
124 пластик</t>
        </r>
      </text>
    </comment>
    <comment ref="AH260" authorId="0" shapeId="0" xr:uid="{00000000-0006-0000-0000-000044000000}">
      <text>
        <r>
          <rPr>
            <b/>
            <sz val="9"/>
            <color indexed="81"/>
            <rFont val="Tahoma"/>
            <family val="2"/>
            <charset val="204"/>
          </rPr>
          <t>140*45 - стекло
148*38*38 пластик</t>
        </r>
        <r>
          <rPr>
            <sz val="9"/>
            <color indexed="81"/>
            <rFont val="Tahoma"/>
            <family val="2"/>
            <charset val="204"/>
          </rPr>
          <t xml:space="preserve">
</t>
        </r>
      </text>
    </comment>
    <comment ref="T261" authorId="0" shapeId="0" xr:uid="{00000000-0006-0000-0000-000045000000}">
      <text>
        <r>
          <rPr>
            <b/>
            <sz val="9"/>
            <color indexed="81"/>
            <rFont val="Tahoma"/>
            <family val="2"/>
            <charset val="204"/>
          </rPr>
          <t>195 - стекло
124 пластик</t>
        </r>
      </text>
    </comment>
    <comment ref="AH261" authorId="0" shapeId="0" xr:uid="{00000000-0006-0000-0000-000046000000}">
      <text>
        <r>
          <rPr>
            <b/>
            <sz val="9"/>
            <color indexed="81"/>
            <rFont val="Tahoma"/>
            <family val="2"/>
            <charset val="204"/>
          </rPr>
          <t>140*45 - стекло
148*38*38 пластик</t>
        </r>
        <r>
          <rPr>
            <sz val="9"/>
            <color indexed="81"/>
            <rFont val="Tahoma"/>
            <family val="2"/>
            <charset val="204"/>
          </rPr>
          <t xml:space="preserve">
</t>
        </r>
      </text>
    </comment>
    <comment ref="T262" authorId="0" shapeId="0" xr:uid="{00000000-0006-0000-0000-000047000000}">
      <text>
        <r>
          <rPr>
            <b/>
            <sz val="9"/>
            <color indexed="81"/>
            <rFont val="Tahoma"/>
            <family val="2"/>
            <charset val="204"/>
          </rPr>
          <t>195 - стекло
124 пластик</t>
        </r>
      </text>
    </comment>
    <comment ref="AH262" authorId="0" shapeId="0" xr:uid="{00000000-0006-0000-0000-000048000000}">
      <text>
        <r>
          <rPr>
            <b/>
            <sz val="9"/>
            <color indexed="81"/>
            <rFont val="Tahoma"/>
            <family val="2"/>
            <charset val="204"/>
          </rPr>
          <t>140*45 - стекло
148*38*38 пластик</t>
        </r>
        <r>
          <rPr>
            <sz val="9"/>
            <color indexed="81"/>
            <rFont val="Tahoma"/>
            <family val="2"/>
            <charset val="204"/>
          </rPr>
          <t xml:space="preserve">
</t>
        </r>
      </text>
    </comment>
    <comment ref="T263" authorId="0" shapeId="0" xr:uid="{00000000-0006-0000-0000-000049000000}">
      <text>
        <r>
          <rPr>
            <b/>
            <sz val="9"/>
            <color indexed="81"/>
            <rFont val="Tahoma"/>
            <family val="2"/>
            <charset val="204"/>
          </rPr>
          <t>195 - стекло
124 пластик</t>
        </r>
      </text>
    </comment>
    <comment ref="AH263" authorId="0" shapeId="0" xr:uid="{00000000-0006-0000-0000-00004A000000}">
      <text>
        <r>
          <rPr>
            <b/>
            <sz val="9"/>
            <color indexed="81"/>
            <rFont val="Tahoma"/>
            <family val="2"/>
            <charset val="204"/>
          </rPr>
          <t>140*45 - стекло
148*38*38 пластик</t>
        </r>
        <r>
          <rPr>
            <sz val="9"/>
            <color indexed="81"/>
            <rFont val="Tahoma"/>
            <family val="2"/>
            <charset val="204"/>
          </rPr>
          <t xml:space="preserve">
</t>
        </r>
      </text>
    </comment>
    <comment ref="T264" authorId="0" shapeId="0" xr:uid="{00000000-0006-0000-0000-00004B000000}">
      <text>
        <r>
          <rPr>
            <b/>
            <sz val="9"/>
            <color indexed="81"/>
            <rFont val="Tahoma"/>
            <family val="2"/>
            <charset val="204"/>
          </rPr>
          <t>195 - стекло
124 пластик</t>
        </r>
      </text>
    </comment>
    <comment ref="AH264" authorId="0" shapeId="0" xr:uid="{00000000-0006-0000-0000-00004C000000}">
      <text>
        <r>
          <rPr>
            <b/>
            <sz val="9"/>
            <color indexed="81"/>
            <rFont val="Tahoma"/>
            <family val="2"/>
            <charset val="204"/>
          </rPr>
          <t>140*45 - стекло
148*38*38 пластик</t>
        </r>
        <r>
          <rPr>
            <sz val="9"/>
            <color indexed="81"/>
            <rFont val="Tahoma"/>
            <family val="2"/>
            <charset val="204"/>
          </rPr>
          <t xml:space="preserve">
</t>
        </r>
      </text>
    </comment>
    <comment ref="T265" authorId="0" shapeId="0" xr:uid="{00000000-0006-0000-0000-00004D000000}">
      <text>
        <r>
          <rPr>
            <b/>
            <sz val="9"/>
            <color indexed="81"/>
            <rFont val="Tahoma"/>
            <family val="2"/>
            <charset val="204"/>
          </rPr>
          <t>195 - стекло
124 пластик</t>
        </r>
      </text>
    </comment>
    <comment ref="AH265" authorId="0" shapeId="0" xr:uid="{00000000-0006-0000-0000-00004E000000}">
      <text>
        <r>
          <rPr>
            <b/>
            <sz val="9"/>
            <color indexed="81"/>
            <rFont val="Tahoma"/>
            <family val="2"/>
            <charset val="204"/>
          </rPr>
          <t>140*45 - стекло
148*38*38 пластик</t>
        </r>
        <r>
          <rPr>
            <sz val="9"/>
            <color indexed="81"/>
            <rFont val="Tahoma"/>
            <family val="2"/>
            <charset val="204"/>
          </rPr>
          <t xml:space="preserve">
</t>
        </r>
      </text>
    </comment>
    <comment ref="AH277" authorId="0" shapeId="0" xr:uid="{00000000-0006-0000-0000-00004F000000}">
      <text>
        <r>
          <rPr>
            <b/>
            <sz val="9"/>
            <color indexed="81"/>
            <rFont val="Tahoma"/>
            <family val="2"/>
            <charset val="204"/>
          </rPr>
          <t>165*52*34 плоский 150 мл 
155*43*43 - цилиндр протей</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xml:space="preserve"> </author>
  </authors>
  <commentList>
    <comment ref="E24" authorId="0" shapeId="0" xr:uid="{00000000-0006-0000-0100-000001000000}">
      <text>
        <r>
          <rPr>
            <b/>
            <sz val="9"/>
            <color indexed="8"/>
            <rFont val="Tahoma"/>
            <family val="2"/>
            <charset val="204"/>
          </rPr>
          <t xml:space="preserve">я:
</t>
        </r>
        <r>
          <rPr>
            <sz val="9"/>
            <color indexed="8"/>
            <rFont val="Tahoma"/>
            <family val="2"/>
            <charset val="204"/>
          </rPr>
          <t xml:space="preserve">Что ожидает женщина от дневного крема?  Увлажнения и защиты. И, конечно, красоты. Все это может дать вам дневной биоактивный крем «Облепиха». 
Каждый компонент крема «Облепиха» нацелен на решение этой задачи:
• масло из ягод облепихи холодного отжима питает кожу, улучшает цвета лица, предотвращает появление первых морщинок;
• масло календулы превосходно смягчает кожу, повышает ее устойчивость к ультрафиолету и другим неблагоприятным факторам внешней среды:
• экстракт цветков маргаритки уменьшает пигментацию кожи и делает возрастные пигментные пятна менее заметными. Он снижает выработку пептида эндотелина-1, тем самым сокращая биосинтез меланина под действием УФ-излучения, и уменьшает активность фермента тирозиназы, который ответственен за синтез пигментов в коже.
• масла лесного ореха выравнивает текстуру кожи, подтягивает контур лица, разглаживает мелкие морщинки;
• экстракт имбиря мягко, без жжения и других неприятных ощущений, разогревает кожу, стимулирует кровообращение, ускоряет обмен веществ, тем самым резко повышая эффективность действия крема в целом. Он же сужает поры, улучшает цвета лица и повышает тургор кожи.
Крем имеет нежный спокойный несильный цветочный аромат и легкую текстуру. Он быстро впитывается, на многие часы увлажняя кожу. Оказывает легкое матирующее действие. Является хорошей основой под макияж.
Состав: вода, стеарат сахарозы, экстракт имбиря, масло лесного ореха, сквалан, экстракт из цветков маргаритки многолетней, цетеариловый спирт, сорбит, масло авокадо, масло Ши, масло календулы, глицерин, бензиловый спирт, глицерилолеат, экстракт листа облепихи, экстракт мелиссы лекарственной, масло Жожоба, масло из ягод облепихи холодного отжима,  глицерилкаприлат, аллантоин, токоферола ацетапт (Витамин Е), ксантовая камедь.
</t>
        </r>
      </text>
    </comment>
    <comment ref="E25" authorId="0" shapeId="0" xr:uid="{00000000-0006-0000-0100-000002000000}">
      <text>
        <r>
          <rPr>
            <b/>
            <sz val="9"/>
            <color indexed="8"/>
            <rFont val="Tahoma"/>
            <family val="2"/>
            <charset val="204"/>
          </rPr>
          <t xml:space="preserve">я:
</t>
        </r>
        <r>
          <rPr>
            <sz val="9"/>
            <color indexed="8"/>
            <rFont val="Tahoma"/>
            <family val="2"/>
            <charset val="204"/>
          </rPr>
          <t xml:space="preserve">Ночной крем для лица «Облепиха» на основе натуральных растительных компонентов уникален по своему комплексному воздействию. Отличается выраженным омолаживающим и восстанавливающим действием, приятно смягчает кожу, делает ее эластично-упругой, придает коже шелковистый гриф и матовость.
Основной биоактивный ингредиент крема – высококачественное алтайское масло из мякоти плодов облепихи, полученное путем механического отжима без применения химических веществ и в максимальной степени сохранившее свой природный состав и свойства. Оно придает коже лица мягкую эластичность, изящество и благородный матовый тон; устраняет жирный блеск. Здоровая свежесть кожи на протяжении долгого времени обеспечивается благодаря наличию в облепиховом масле каротиноидов, токоферолов, витаминов К, В1, В2, В6, стеринов, органических кислот и фитонцидов.
Полезные свойства крема приумножаются и многократно усиливаются за счет обогащения его ликопином – мощнейшим природным антиоксидантом, незаменимым помощником в сохранении молодости кожи. А также маслом Ши, которое предотвращает преждевременное старение кожи, маслом манго, которое защищает кожу от обезвоживания и обветривания, маслом авокадо, разглаживающим кожу лица и натуральным маслом клещевины, имеющим выраженный отбеливающий эффект.
Комбинация мощных биостимуляторов: гидролата лофанта анисового и эфирного масла лаванды усиливает действие природных ингредиентов и придает крему тончайший цитрусовый аромат с легким медовым оттенком алтайского разнотравья.
Крем универсален по своему применению. Он не имеет привязки по возрасту и полезен любой коже, требующей интенсивного питания и увлажнения как вследствие возрастных особенностей, так и после воздействия на кожу природных и техногенных факторов, вызывающих её преждевременное старение.
Сейчас этот крем переживает свое второе рождение. Теперь он выпускается в стеклянной таре с обновленным дизайном этикетки и в составе расширенной серии косметических средств «Облепиха».
Состав: вода, гидролат лофанта анисового, масло манго, масло Ши, цетеариловый спирт, глицерин, масло из ягод облепихи холодного отжима, масло авокадо, лецитин, инулин, ликопин, кокосовое масло, масло клещевины, молочная кислота, лактат калия, эфирное масло апельсина, бензиловый спирт, глицерилкаприлат, аллантоин, эфирное масло лайма, эфирное масло лаванды, D-пантенол (провитамин В5), токоферола ацетат (Витамин Е), камедь горохового дерева, ксантановая камедь.
</t>
        </r>
      </text>
    </comment>
    <comment ref="E26" authorId="0" shapeId="0" xr:uid="{00000000-0006-0000-0100-000003000000}">
      <text>
        <r>
          <rPr>
            <b/>
            <sz val="9"/>
            <color indexed="8"/>
            <rFont val="Tahoma"/>
            <family val="2"/>
            <charset val="204"/>
          </rPr>
          <t xml:space="preserve">я:
</t>
        </r>
        <r>
          <rPr>
            <sz val="9"/>
            <color indexed="8"/>
            <rFont val="Tahoma"/>
            <family val="2"/>
            <charset val="204"/>
          </rPr>
          <t xml:space="preserve">Легкий питательный крем для кожи вокруг глаз «Облепиха». Хорошо увлажняет, освежает кожу, снимает признаки усталости, создает ощущение комфорта. Разглаживает мелкие морщины, вызванные сухостью кожи, восстанавливает упругость кожи, укрепляет контур век. Стимулирует синтез коллагена и эластина. Позволяет поддерживать кожу красивой и ухоженной в любом возрасте.
Для достижения максимального результата нанесите этот крем на кожу лица вечером и оставьте его на коже до утра.
Состав: вода, масло Ши, биосахаридная камедь, кокосовое масло, масло лесного ореха, масло макадамии, бетаин, глюкоза, полиглицерил-3-метилглюкозы дистеарат, масло ягод алтайской облепихи холодного отжима, масло примулы вечерней, комплекс природных полиненасыщенных жирных кислот (витамин F), глицериоолеат, комплекс молочных пептидов, масло Жожоба, бензиловый спирт, токоферола ацетат (витамин Е), аллантоин, лецитин, холистерол, глицерилкаприлат.
</t>
        </r>
      </text>
    </comment>
    <comment ref="E29" authorId="0" shapeId="0" xr:uid="{00000000-0006-0000-0100-000004000000}">
      <text>
        <r>
          <rPr>
            <b/>
            <sz val="9"/>
            <color indexed="8"/>
            <rFont val="Tahoma"/>
            <family val="2"/>
            <charset val="204"/>
          </rPr>
          <t xml:space="preserve">я:
</t>
        </r>
        <r>
          <rPr>
            <sz val="9"/>
            <color indexed="8"/>
            <rFont val="Tahoma"/>
            <family val="2"/>
            <charset val="204"/>
          </rPr>
          <t xml:space="preserve">Увлажняющий крем для ежедневного ухода за нормальной и сухой кожей лица. Протеины овса и натуральный полисахаридный комплекс обеспечивают длительное увлажнение кожи. Экстракты бессмертника, липы и календулы успокоят чувствительную и раздраженную кожу, придадут лицу свежий и ухоженный вид, защитят кожу от УФ-излучения и неблагоприятного воздействия окружающей среды. Крем имеет легкую текстуру, быстро впитывается. Является прекрасной основой под макияж.
·   изготовлен из продуктов растительного происхождения;
·   не содержит продуктов животного происхождения;
·   не содержит продуктов переработки нефти;
·   не содержит синтетических эмульгаторов;
·   не содержит синтетических отдушек и красителей;
·   содержит консерванты, разрешенные  стандартом ECOSEPT к применению в натуральной косметике.
Состав крема: вода, масло рисовых отрубей, стеарат сахарозы, экстракт цветков липы, экстракт бессмертника, масло календулы, кокосовое масло, цетеариловый спирт, натуральный полисахаридный влагоудерживающий комплекс, масло Ши, рисовый воск, касторовое масло, феноксиэтанол, глицерилкаприлат, α-токоферола ацетат (Витамин Е), протеины овса, аллантоин, молочная кислота, эфирное масло лаванды (Lavandula officinalis Chaix.), лактат натрия, сорбиновая кислота.
</t>
        </r>
      </text>
    </comment>
    <comment ref="E30" authorId="0" shapeId="0" xr:uid="{00000000-0006-0000-0100-000005000000}">
      <text>
        <r>
          <rPr>
            <b/>
            <sz val="10"/>
            <color indexed="8"/>
            <rFont val="Tahoma"/>
            <family val="2"/>
            <charset val="204"/>
          </rPr>
          <t xml:space="preserve">Питательный крем для ежедневного ухода за сухой и нормальной кожей лица. Масляные экстракты боярышника, рябины и масло алтайской облепихи питают кожу, нормализуют обмен веществ, ускоряют регенерацию клеток кожи, замедляют ее старение. Масло зародышей кукурузы насыщает кожу незаменимыми Омега-6 и Омега-9 кислотами. Богатый олигосахаридами овсяный протеин возвращает коже первозданную мягкость.
Крем делает кожу нежной и эластичной, улучшает цвет, разглаживает мелкие морщинки.
·   изготовлен из продуктов растительного происхождения;
·   не содержит продуктов животного происхождения;
·   не содержит продуктов переработки нефти;
·   не содержит синтетических эмульгаторов;
·   не содержит синтетических отдушек и красителей;
·   содержит консерванты, разрешенные  стандартом ECOSEPT к применению в натуральной косметике.
Состав крема: вода, масло рисовых отрубей, масло зародышей кукурузы, кокосовое масло, стеарат сахарозы, полиглицерил-3-метилглюкозы дистеарат, экстракт плодов боярышника, экстракт плодов рябины, масло алтайской облепихи, масло календулы, масло Ши, протеины овса, цетеариловый спирт, аллантоин, феноксиэтанол, глицерилкаприлат, α-токоферола ацетат (Витамин Е), молочная кислота, эфирное масло лаванды (Lavandula officinalis Chaix.), лактат натрия, сорбиновая кислота.
</t>
        </r>
      </text>
    </comment>
    <comment ref="E31" authorId="0" shapeId="0" xr:uid="{00000000-0006-0000-0100-000006000000}">
      <text>
        <r>
          <rPr>
            <b/>
            <sz val="9"/>
            <color indexed="8"/>
            <rFont val="Tahoma"/>
            <family val="2"/>
            <charset val="204"/>
          </rPr>
          <t xml:space="preserve">я:
</t>
        </r>
        <r>
          <rPr>
            <sz val="9"/>
            <color indexed="8"/>
            <rFont val="Tahoma"/>
            <family val="2"/>
            <charset val="204"/>
          </rPr>
          <t xml:space="preserve">Овсяная маска – незаменимое средство ухода за лицом. Это лучший способ мягко очистить, увлажнить и успокоить сухую чувствительную или раздраженную кожу. Натуральный влагоудерживающий комплекс на основе природных сахаров, молочные протеины и протеины овса быстро восстанавливают гидролипидный баланс кожи, возвращают ей гладкость, упругость и эластичность. Липа, ромашка и календула успокаивают кожу, ускоряют процесс регенерации клеток. Результат от применения маски - нежная, бархатистая кожа и красивый цвет лица.
·   изготовлена из продуктов растительного происхождения;
·   не содержит продуктов животного происхождения;
·   не содержит продуктов переработки нефти;
·   не содержит синтетических эмульгаторов;
·   не содержит синтетических отдушек и красителей;
·   не содержит консервантов.
Состав: молотая овсяная крупа, рисовая мука, сухое молоко, цветки липы, цветки ромашки лекарственной, цветки календулы, бетаин, натуральный полисахаридный влагоудерживающий комплекс, оливковое масло, масло сладкого миндаля, лактат натрия, лимонная кислота, эфирное масло лаванды (Lavandula officinalis Chaix.), эфирное масло голубой ромашки (Matricaria chamomilla).
</t>
        </r>
      </text>
    </comment>
    <comment ref="E145" authorId="0" shapeId="0" xr:uid="{00000000-0006-0000-0100-000007000000}">
      <text>
        <r>
          <rPr>
            <b/>
            <sz val="9"/>
            <color indexed="8"/>
            <rFont val="Tahoma"/>
            <family val="2"/>
            <charset val="204"/>
          </rPr>
          <t xml:space="preserve">я:
</t>
        </r>
        <r>
          <rPr>
            <sz val="9"/>
            <color indexed="8"/>
            <rFont val="Tahoma"/>
            <family val="2"/>
            <charset val="204"/>
          </rPr>
          <t xml:space="preserve">Для ежедневного умывания жирной и проблемной кожи лица. Мягко очищает поры и дезинфицирует кожу. Уменьшает воспаления, способствует быстрому заживлению ранок. Эффективно подсушивает и уменьшает прыщи и угревую сыпь.Улучшает дренаж, ускоряет выведение токсинов из кожи. Подходит для процедуры пенно-соляного гоммажа, благодаря которому обеспечивается глубокое очищение кожи. Сообщает лицу легкую прохладу, придает ощущение свежести.
Состав: омыленная смесь кокосового, пальмового, касторового масел и масла каритэ, природная каменная соль, каолин, экстракт подорожника, глицерин, борная кислота, эфирное масло шалфея, эфирное масло розмарина, эфирное масло эвкалипта, эфирное масло чайного дерева, эфирное масло бергамота, витамин Е
</t>
        </r>
      </text>
    </comment>
    <comment ref="E146" authorId="0" shapeId="0" xr:uid="{00000000-0006-0000-0100-000008000000}">
      <text>
        <r>
          <rPr>
            <b/>
            <sz val="9"/>
            <color indexed="8"/>
            <rFont val="Tahoma"/>
            <family val="2"/>
            <charset val="204"/>
          </rPr>
          <t xml:space="preserve">я:
</t>
        </r>
        <r>
          <rPr>
            <sz val="9"/>
            <color indexed="8"/>
            <rFont val="Tahoma"/>
            <family val="2"/>
            <charset val="204"/>
          </rPr>
          <t xml:space="preserve">Нежное натуральное средство для очищения лица и удаления макияжа. Превосходно смывает загрязнения, излишки кожного жира и декоративную косметику. Экстракты зверобоя и тысячелистника смягчают, освежают, успокаивают кожу. Антибактериальные компоненты лекарственных трав и кислый рН геля, равный 5,0, препятствуют развитию воспалительных процессов. Гель не сушит, не стягивает кожу.
Состав: гидролат розы, экстракт календулы, экстракт зверобоя, экстракт ромашки лекарственной, экстракт тысячелистника, кокамфоацетат натрия*, алкилглюкозид натрия*, кокоилглутамат натрия*, алкилполигликозид-карбоксилат натрия*, кокамидопропилбетаин, глицерилолеат, бензиловый спирт, лимонная кислота, дегидроуксусная кислота, стеарат сахарозы, лактат натрия, аллантоин, эфирное масло розы, бензойная кислота, сорбиновая кислота, каприлил гликоль.
Значком * обозначены поверхностно-активные вещества, разрешенные к использованию в натуральной косметике.
</t>
        </r>
      </text>
    </comment>
    <comment ref="E147" authorId="0" shapeId="0" xr:uid="{00000000-0006-0000-0100-000009000000}">
      <text>
        <r>
          <rPr>
            <b/>
            <sz val="9"/>
            <color indexed="8"/>
            <rFont val="Tahoma"/>
            <family val="2"/>
            <charset val="204"/>
          </rPr>
          <t xml:space="preserve">я:
</t>
        </r>
        <r>
          <rPr>
            <sz val="9"/>
            <color indexed="8"/>
            <rFont val="Tahoma"/>
            <family val="2"/>
            <charset val="204"/>
          </rPr>
          <t xml:space="preserve">Натуральный лосьон с мягкими природными мицеллообразующими веществами, извлеченными из мыльного корня, и активным фитокомплексом лекарственных растений. Нежно очищает кожу от загрязнений и декоративной косметики. Эффективно растворяет секрет сальных желез, глубоко очищает поры. Экстракты лечебных трав обеспечивают антисептическое действие, препятствует росту болезнетворных бактерий, успокаивают кожу, уменьшают покраснения. Лосьон не сушит кожу, не вызывает раздражения. Освежает, выравнивает цвет лица.
Состав: вода, экстракт цветов липы, экстракт календулы, белое виноградное вино, глицерин, бензиловый спирт, экстракт мыльного корня,  ализариновое масло, биосахаридная камедь, олеат глицерина, полисорбат, бензиловый спирт, бензойная кислота, эфирное масло розы, сорбиновая кислота, дегидроуксусная кислота, каприлил гликоль, ксантановая камедь.
</t>
        </r>
      </text>
    </comment>
  </commentList>
</comments>
</file>

<file path=xl/sharedStrings.xml><?xml version="1.0" encoding="utf-8"?>
<sst xmlns="http://schemas.openxmlformats.org/spreadsheetml/2006/main" count="5365" uniqueCount="2815">
  <si>
    <t>Менеджер</t>
  </si>
  <si>
    <t>Упаковщица</t>
  </si>
  <si>
    <t>Дата выполнения</t>
  </si>
  <si>
    <t>Количество мест</t>
  </si>
  <si>
    <t>Вес / № короба</t>
  </si>
  <si>
    <t xml:space="preserve">                                  Бланк заказа_ЯНВАРЬ                   </t>
  </si>
  <si>
    <t xml:space="preserve">Дата </t>
  </si>
  <si>
    <t>Клиент</t>
  </si>
  <si>
    <t>Транспортная компания</t>
  </si>
  <si>
    <t>Адрес доставки (город)</t>
  </si>
  <si>
    <t>Дополнительная упаковка (обрешетка, паллетный борт)</t>
  </si>
  <si>
    <t>Контактное лицо, телефон</t>
  </si>
  <si>
    <t>Особые отметки (выставка, срочность, штрих-коды и пр.)</t>
  </si>
  <si>
    <t>штрих-код</t>
  </si>
  <si>
    <t>Артикул</t>
  </si>
  <si>
    <t>Номенклатура</t>
  </si>
  <si>
    <t xml:space="preserve">Кол-во </t>
  </si>
  <si>
    <t>Выполнение</t>
  </si>
  <si>
    <t>Дополнительно</t>
  </si>
  <si>
    <t>от 30 тыс.руб</t>
  </si>
  <si>
    <t>20-30 тыс</t>
  </si>
  <si>
    <t>10-20 тыс.</t>
  </si>
  <si>
    <t>5-10 тыс.</t>
  </si>
  <si>
    <t>СП</t>
  </si>
  <si>
    <t>Брутто (г)</t>
  </si>
  <si>
    <t>РРЦ</t>
  </si>
  <si>
    <t>Срок годности (мес.)</t>
  </si>
  <si>
    <t>Срок годности после вскрытия (мес.)</t>
  </si>
  <si>
    <t>Декларация соответствия</t>
  </si>
  <si>
    <t>дата регистрации</t>
  </si>
  <si>
    <t>Годен до</t>
  </si>
  <si>
    <t>Ссылка на Сартификаты</t>
  </si>
  <si>
    <t>Возрастные ограничения</t>
  </si>
  <si>
    <t>Запах</t>
  </si>
  <si>
    <t>Цвет</t>
  </si>
  <si>
    <t>Размер упаковки В*Д*Ш</t>
  </si>
  <si>
    <t>Тара</t>
  </si>
  <si>
    <t>Упаковка</t>
  </si>
  <si>
    <t>КОД ТНВЭД</t>
  </si>
  <si>
    <t>Действие</t>
  </si>
  <si>
    <t>Состав</t>
  </si>
  <si>
    <t>Способ применения</t>
  </si>
  <si>
    <t>Фото</t>
  </si>
  <si>
    <t>Товар на сайте компании</t>
  </si>
  <si>
    <t xml:space="preserve">Презентация </t>
  </si>
  <si>
    <t>Количество штук в коробе</t>
  </si>
  <si>
    <t>Номер короба</t>
  </si>
  <si>
    <t xml:space="preserve">Объем продукции </t>
  </si>
  <si>
    <t xml:space="preserve">Итго объем продукции </t>
  </si>
  <si>
    <t>Высота логистической коробки, мм</t>
  </si>
  <si>
    <t>Ширина логистической  коробки, мм</t>
  </si>
  <si>
    <t>Длина логистической коробки, мм</t>
  </si>
  <si>
    <t>Объем 
(м.3)</t>
  </si>
  <si>
    <t>Цена</t>
  </si>
  <si>
    <t>Сумма заказа</t>
  </si>
  <si>
    <t>цена</t>
  </si>
  <si>
    <t>Брутто шт. (г)</t>
  </si>
  <si>
    <t>Итого брутто (г)</t>
  </si>
  <si>
    <t>Кол-во штук в коробе</t>
  </si>
  <si>
    <t>Параметры продукта (мм)</t>
  </si>
  <si>
    <t>1 шт (м.кб)</t>
  </si>
  <si>
    <t>(м.кб)</t>
  </si>
  <si>
    <t>Новогодний  ассортимент</t>
  </si>
  <si>
    <t>4627186344788</t>
  </si>
  <si>
    <r>
      <t xml:space="preserve">Гель для душа "Сочный грейпфрут", 100 мл    </t>
    </r>
    <r>
      <rPr>
        <b/>
        <sz val="10"/>
        <color rgb="FFFF0000"/>
        <rFont val="Arial Cyr"/>
        <charset val="204"/>
      </rPr>
      <t>новинка</t>
    </r>
  </si>
  <si>
    <t>ЕАЭС N RU Д-RU.РА04.В.56230/23</t>
  </si>
  <si>
    <t>https://disk.yandex.ru/d/9DX9wRDauusjww</t>
  </si>
  <si>
    <t>14+</t>
  </si>
  <si>
    <t>4627186344696</t>
  </si>
  <si>
    <r>
      <t xml:space="preserve">Гель для душа "Кокос", 100 мл  </t>
    </r>
    <r>
      <rPr>
        <b/>
        <sz val="10"/>
        <color rgb="FFFF0000"/>
        <rFont val="Arial Cyr"/>
        <charset val="204"/>
      </rPr>
      <t>новинка</t>
    </r>
  </si>
  <si>
    <t>ЕАЭС N RU Д-RU.РА09.В.54478/23</t>
  </si>
  <si>
    <t>https://disk.yandex.ru/i/zkpulNHxCe0nfQ</t>
  </si>
  <si>
    <t>Мягкий гель для душа прекрасно очищает 
кожу  от  загрязнений,  отлично  пенится,  легко 
смывается, не оставляет скользкой пленки на 
коже.  Не  сушит  и  не  вызывает  ощущения 
стянутости.  Натуральные  добавки  великолеп-
но  увлажняют  и  освежают  кожу,  делают  ее 
мягкой  и  бархатистой.  Манящий  аромат 
кокосовой мякоти оказывает расслабляющее 
и успокаивающее действие.</t>
  </si>
  <si>
    <t>Состав:  вода  деионизированная,    мягкая  
моющая  основа*, глицерил  олеат,  лимонная  
кислота,    глицерин  растительного    происхож-
дения,  свекольный бетаин,  лецинол, бензило-
вый  спирт,  глицерил  каприлат,    экстракт 
ванили,    натуральный  экстракт  кокоса,  
D-пантенол  (провитамин    В5),    ароматизатор 
пищевой «Кокос».
*включает  в  себя:  кокоглюкозид,  лаурилглю-
козид,  кокосульфат  натрия,  кокоилглутамат 
натрия и кокамидопропилбетаин.</t>
  </si>
  <si>
    <t>Применение:  используйте  гель  привычным 
для вас способом.</t>
  </si>
  <si>
    <t>4627186341015</t>
  </si>
  <si>
    <t>Гель для душа "Лавандовый сон", 100 мл</t>
  </si>
  <si>
    <t>4627186341008</t>
  </si>
  <si>
    <t>Гель-шампунь "Ромовая баба", 100 мл</t>
  </si>
  <si>
    <t>ЕАЭС N RU Д-RU.НА38.В.03841/20</t>
  </si>
  <si>
    <t>https://disk.yandex.ru/d/Px_OnjTPPuyRhg</t>
  </si>
  <si>
    <t>4627186340995</t>
  </si>
  <si>
    <t>Гель-шампунь "Грейпфрут", 100 мл</t>
  </si>
  <si>
    <t>4627101828041</t>
  </si>
  <si>
    <t>Гель-шампунь "Грейпфрут", 200 мл</t>
  </si>
  <si>
    <t>Бережно очищает волосы и кожу головы, 
делает  волосы  мягкими  и  послушными, 
придает  им  блеск  и  ухоженный  вид.  Нежная 
пена  хорошо  очищает  тело.  Натуральные 
добавки  прекрасно  увлажняют  и  освежают 
кожу,  придают  ей  мягкость  и  приятные 
тактильные  ощущения.  Легкое  звучание 
древесно-цитрусового  аромата  заряжает 
энергией  и  хорошим  настроением.  Пригоден 
для  частого  использования.  Подходит  для 
любого типа кожи и волос.</t>
  </si>
  <si>
    <t>Состав:  вода  деионизированная,  мягкая 
моющая  основа*,  глицерил  олеат,  лимонная 
кислота, глицерин растительного происхожде-
ния,  свекольный  бетаин,  лецинол,  экстракт 
магнолии,  экстракт  лимона,  экстракт  мяты 
перечной,  D-пантенол  (провитамин  В5), 
эфирное  масло  грейпфрута,  эфирное  масло 
апельсина,  эфирное  масло  розы,  экстракт 
ванили.
*включает  в  себя:  кокоглюкозид,  лаурилглю-
козид,  кокосульфат  натрия,  кокоилглутамат 
натрия и кокамидопропилбетаин.</t>
  </si>
  <si>
    <t>Применение:  используйте  как  гель  или 
шампунь  привычным  для  вас  способом. 
Натуральный  продукт:  возможно  помутнение 
или  образование  хлопьев,  не  меняющих 
свойства  продукта.  Перед  употреблением 
встряхнуть.</t>
  </si>
  <si>
    <t>4627186344726</t>
  </si>
  <si>
    <r>
      <t xml:space="preserve">Гель для душа "Дюшес", 200 мл  </t>
    </r>
    <r>
      <rPr>
        <b/>
        <sz val="10"/>
        <color rgb="FFFF0000"/>
        <rFont val="Arial Cyr"/>
        <charset val="204"/>
      </rPr>
      <t xml:space="preserve"> новинка</t>
    </r>
  </si>
  <si>
    <t>https://disk.yandex.ru/i/6G9Ly2hDn_MU0A</t>
  </si>
  <si>
    <t xml:space="preserve">Натуральный  гель  на  основе  гидролата 
зеленого  чая  и  фруктового  экстракта  груши 
сорта  «Дюшес».  Отлично  пенится,  легко 
смывается, не оставляет скользкой пленки на 
коже.  Не  сушит  и  не  вызывает  ощущения 
стянутости. Натуральные добавки великолепно 
увлажняют  кожу,  повышают  тонус,  делают  ее 
мягкой  и  бархатистой.  Искрящийся  аромат 
груши «Дюшес», как воспоминание из детства, 
наполнит бодростью и хорошим настроением. </t>
  </si>
  <si>
    <t xml:space="preserve">Состав:  вода  деионизированная,  гидролат 
зеленого  чая,  мягкая  моющая  основа*, 
глицерил  олеат,  цитрат  натрия,  сироп-настой 
груши сорта «Дюшес», глицерин растительного 
происхождения,  свекольный  бетаин,  лецитин, 
вкусоароматическая  добавка  «Дюшес», 
идентичная  натуральной,  бензиловый  спирт, 
глюкоза,  глицерил  каприлат,  пчелиный  мёд, 
лимонная  кислота,  экстракт  алоэ  вера, 
эфирное масло лимона. 
*включает  в  себя:  кокоглюкозид  натрия, 
лаурилглюкозид  натрия,  децилглюкозид 
натрия,  кокосульфат  натрия,  кокоилглутамат 
натрия.  </t>
  </si>
  <si>
    <t xml:space="preserve">Применение:  используйте  гель  привычным </t>
  </si>
  <si>
    <r>
      <t xml:space="preserve">Гель  для душа "Кокос", 200 мл    </t>
    </r>
    <r>
      <rPr>
        <b/>
        <sz val="10"/>
        <color rgb="FFFF0000"/>
        <rFont val="Arial Cyr"/>
        <charset val="204"/>
      </rPr>
      <t>новинка</t>
    </r>
  </si>
  <si>
    <t>для вас способом.</t>
  </si>
  <si>
    <t>4627101829284</t>
  </si>
  <si>
    <t>Гель-шампунь "Ромовая баба", 200 мл</t>
  </si>
  <si>
    <t>4627101828102</t>
  </si>
  <si>
    <t>Гель-шампунь "Кофейный", 200 мл</t>
  </si>
  <si>
    <t>4627186344771</t>
  </si>
  <si>
    <r>
      <t xml:space="preserve">Молочко для тела "Апельсин" 100 мл   </t>
    </r>
    <r>
      <rPr>
        <b/>
        <sz val="10"/>
        <color rgb="FFFF0000"/>
        <rFont val="Arial"/>
        <family val="2"/>
        <charset val="204"/>
      </rPr>
      <t>новинка</t>
    </r>
  </si>
  <si>
    <t>ЕАЭС №RU Д-RU.НА38.В.02870/20</t>
  </si>
  <si>
    <t>https://disk.yandex.ru/i/szKUavKYFvl_KA</t>
  </si>
  <si>
    <t>Лёгкое  молочко  для  ежедневного  ухода  за  кожей  тела. Натуральный 
экстракт  цитрусовых  освежает  кожу,  улучшает    её    цвет.  Фруктовые  
кислоты  активизируют  иммунные процессы,  оказывают  антиоксидант-
ное  действие, замедляют  процессы  старения,  стимулируют  выработку 
коллагена,  повышают эластичность кожи и увлажняют её. Масла косто-
чек миндаля, манго и оливы обеспечивают коже дополнительный  уход:  
питают,  придают  мягкость  и бархатистость. Яркий цитрусовый аромат 
дарит позитивный настрой и хорошее настроение.</t>
  </si>
  <si>
    <t>Состав: вода, масло косточек миндаля, масло манго,  масло оливковое,  полиг-
лицерил-3  стеарат,  масло  кокосовое, масло зародышей кукурузы, цетеарило-
вый спирт, экстракт апельсина, глицерин, свекольный бетаин, масло  облепихи,  
бензиловый  спирт,  глицерил  каприлат, эфирное  масло  апельсина,  D-лимонен  
природного  происхождения,    аллантоин,    лимонная    кислота,  
молочная кислота, яблочная кислота, янтарная кислота, гидро-
карбонат натрия, витамин Е, эфирное масло розы, винная кислота.</t>
  </si>
  <si>
    <t xml:space="preserve">Применение: наносите  молочко  на  чистую  кожу легкими  
массирующими  движениями. </t>
  </si>
  <si>
    <t>4627186344757</t>
  </si>
  <si>
    <r>
      <t xml:space="preserve">Молочко для тела "Кокос", 100 мл     </t>
    </r>
    <r>
      <rPr>
        <b/>
        <sz val="10"/>
        <color rgb="FFFF0000"/>
        <rFont val="Arial"/>
        <family val="2"/>
        <charset val="204"/>
      </rPr>
      <t>новинка</t>
    </r>
  </si>
  <si>
    <t>ЕАЭС N RU Д-RU.РА09.В.54452/23</t>
  </si>
  <si>
    <t>https://disk.yandex.ru/i/AkcGsNERERCQeQ</t>
  </si>
  <si>
    <t>4627186341053</t>
  </si>
  <si>
    <t>Крем-суфле для тела с маслом карите, 150 мл</t>
  </si>
  <si>
    <t>0</t>
  </si>
  <si>
    <t>Скраб сахарный для тела "Грейпфрутовый", 200 г</t>
  </si>
  <si>
    <t>ЕАЭС N RU Д-RU.РА09.В.10701/22</t>
  </si>
  <si>
    <t>https://disk.yandex.ru/d/jMH-TzedN7fEoQ</t>
  </si>
  <si>
    <t>Скраб сахарный для тела "Клюквенный", 200 г</t>
  </si>
  <si>
    <t>ЕАЭС N RU Д-RU.РА03.В.27650/23</t>
  </si>
  <si>
    <t>https://disk.yandex.ru/d/dDvd6z3NJyX0tg</t>
  </si>
  <si>
    <t>Скраб сахарный для тела "Пряный", 200 г</t>
  </si>
  <si>
    <t>4627101829345</t>
  </si>
  <si>
    <r>
      <rPr>
        <b/>
        <sz val="10"/>
        <rFont val="Arial Cyr"/>
        <charset val="204"/>
      </rPr>
      <t xml:space="preserve">"Рождественская лаванда", 78 г  </t>
    </r>
    <r>
      <rPr>
        <b/>
        <sz val="10"/>
        <color indexed="10"/>
        <rFont val="Arial Cyr"/>
        <charset val="204"/>
      </rPr>
      <t xml:space="preserve"> </t>
    </r>
  </si>
  <si>
    <t>ЕАЭС N RU Д-RU.НА39.В.03566/20</t>
  </si>
  <si>
    <t>https://disk.yandex.ru/d/SyZinNJfsoiQHw</t>
  </si>
  <si>
    <t>105*83*36</t>
  </si>
  <si>
    <t>коробка картонная, крышка прозрачная ПЭТ, лента атласная декоративная</t>
  </si>
  <si>
    <r>
      <rPr>
        <b/>
        <sz val="10"/>
        <rFont val="Arial Cyr"/>
        <charset val="204"/>
      </rPr>
      <t>"Рождественский мандарин", 78 г</t>
    </r>
    <r>
      <rPr>
        <b/>
        <sz val="10"/>
        <color indexed="10"/>
        <rFont val="Arial Cyr"/>
        <charset val="204"/>
      </rPr>
      <t xml:space="preserve">   </t>
    </r>
  </si>
  <si>
    <t xml:space="preserve">"Рождественский вечер", 78 г     </t>
  </si>
  <si>
    <t xml:space="preserve">"Рождественская ёлочка" , 78 г    </t>
  </si>
  <si>
    <t>бумага крафт, этикетка самоклейка (картонная)</t>
  </si>
  <si>
    <t xml:space="preserve">Мыло новогоднее "Апельсин", 145 г    </t>
  </si>
  <si>
    <t>62*82*27</t>
  </si>
  <si>
    <t xml:space="preserve">Мыло новогоднее "Ванильное", 145 г     </t>
  </si>
  <si>
    <t xml:space="preserve">Мыло новогоднее "Детское", 145 г   </t>
  </si>
  <si>
    <t xml:space="preserve">Мыло новогоднее "Лаванда", 145 г     </t>
  </si>
  <si>
    <t xml:space="preserve">Мыло новогоднее "Молочное", 145 г     </t>
  </si>
  <si>
    <t>4627186342487</t>
  </si>
  <si>
    <t>Альгинатная маска, омолаживающая с центеллой азиатской, 20 г</t>
  </si>
  <si>
    <t>ЕАЭС N RU Д-RU.РА05.В.33772/23</t>
  </si>
  <si>
    <t>https://disk.yandex.ru/i/4L1VizeZZeHcHg</t>
  </si>
  <si>
    <t>18+</t>
  </si>
  <si>
    <t>пакет зип-лок, этикетка самокл. Бумажная</t>
  </si>
  <si>
    <t>4627186342456</t>
  </si>
  <si>
    <t>Альгинатная маска, очищающая с портулаком и коллагеном, 20 г</t>
  </si>
  <si>
    <t>4627186342432</t>
  </si>
  <si>
    <t>Альгинатная маска, увлажняющая с гиалуроновой кислотой, 20 г</t>
  </si>
  <si>
    <t>4627186342470</t>
  </si>
  <si>
    <t>Альгинатная маска, успокаивающая с муцином улитки, 20 г</t>
  </si>
  <si>
    <t>Коробка подарочная 16*11*6 с новогодней этикеткой "Домики"     +наполнитель</t>
  </si>
  <si>
    <t>60*160*110</t>
  </si>
  <si>
    <t>коробка микрогофра, обечака мелованный картон 230 мкн</t>
  </si>
  <si>
    <t>Коробка подарочная 16*11*6 с новогодней этикеткой "Зимние забавы"   +наполнитель</t>
  </si>
  <si>
    <t>Коробка подарочная 10*10*6 с новогодней этикеткой "Домики"   +наполнитель</t>
  </si>
  <si>
    <t>4627186344740</t>
  </si>
  <si>
    <t>Коробка подарочная 10*10*6 с новогодней этикеткой "Дракон" (символ года) +наполнитель</t>
  </si>
  <si>
    <t>v</t>
  </si>
  <si>
    <t>НОВИНКИ</t>
  </si>
  <si>
    <t>4627186343477</t>
  </si>
  <si>
    <t>Маслице с петрушкой для лица и зоны вокруг глаз, 20 мл, флакон-капельница</t>
  </si>
  <si>
    <t>5 л</t>
  </si>
  <si>
    <t>ЕАЭС N RU Д-RU.РА04.В.56097/23</t>
  </si>
  <si>
    <t>https://disk.yandex.ru/d/903JdbxDmn8gZQ</t>
  </si>
  <si>
    <t>масел с оттенком петрушки</t>
  </si>
  <si>
    <t>желтовато-зеленоватый прозрачный</t>
  </si>
  <si>
    <t>98*63*32</t>
  </si>
  <si>
    <t>флакон 20 мл стекло коричневый / 18/415пипетка черная / колпачок ТУ прозрачный</t>
  </si>
  <si>
    <t>Этикетка пленка / коробка картонная</t>
  </si>
  <si>
    <t>Действие: Косметическое  маслице,  получаемое  из  корней,  листьев  и семян петрушки, незаменимо для восстанавливающего ухода за  нежной  кожей  вокруг  глаз.  Благодаря  витаминам  и микроэлементам  эффективно  устраняет  следы  усталости, уменьшает отёчность и тёмные круги под глазами. Осветляет веснушки и пигментные пятна. Обеспечивает необходимое увлажнение и питание  кожи лица и области вокруг глаз, восстанавливает тонус и эластичность кожи, разглаживает мелкие морщинки. Освежает цвет лица,  придает здоровый и ухоженный вид. Подходит для ухода за 
чувствительной кожей и при куперозе.
Обеспечивает необходимое увлажнение и питание  кожи лица 
и области вокруг глаз, восстанавливает тонус и эластичность 
кожи, разглаживает мелкие морщинки. Освежает цвет лица,  
придает здоровый и ухоженный вид. Подходит для ухода за 
чувствительной кожей и при куперозе.</t>
  </si>
  <si>
    <t xml:space="preserve">Состав: масляный экстракт корней, листьев и семян петрушки, масло  авокадо,  масло  рисовое,  масло  оливковое  первого холодного отжима марки Extra Virgin, масло клещевины, масло кукурузное, эфирное масло сандала, масло жожоба, витамин А, витамин Е. 
Не содержит синтетических отдушек, красителей и консервантов. 
Не содержит синтетических отдушек, красителей и консервантов.
</t>
  </si>
  <si>
    <t>Способ применения: рекомендуется использовать минимум за  1  час  до  сна  или  выхода  на  улицу.    Наносите  легкими массажными движениями на чистую увлажненную кожу вокруг глаз и лица. Не рекомендуется наносить на подвижное веко и близко к слизистой глаз (при попадании в глаза может вызвать отечность).  Остатки  масла  промокните  сухой  салфеткой. Как дневное средство ухода маслице можно использовать при низкой солнечной активности (осенне – зимний период).
Как дневное средство ухода маслице можно использовать при 
низкой солнечной активности (осенне – зимний период).</t>
  </si>
  <si>
    <t>https://disk.yandex.ru/d/5f22aRLO1tOBUg</t>
  </si>
  <si>
    <r>
      <rPr>
        <b/>
        <sz val="10"/>
        <rFont val="Arial"/>
        <family val="2"/>
        <charset val="204"/>
      </rPr>
      <t>АРОМАТИЧЕСКИЕ СВЕЧИ</t>
    </r>
    <r>
      <rPr>
        <b/>
        <sz val="12"/>
        <color rgb="FFFF0000"/>
        <rFont val="Arial"/>
        <family val="2"/>
        <charset val="204"/>
      </rPr>
      <t xml:space="preserve">  НОВИНКА</t>
    </r>
  </si>
  <si>
    <t>4627186344955</t>
  </si>
  <si>
    <t>Свеча ароматическая "APPLE CINNAMON", 100 мл</t>
  </si>
  <si>
    <t>4627186344931</t>
  </si>
  <si>
    <t>Свеча ароматическая "BOUNTY GIFT ", 100 мл</t>
  </si>
  <si>
    <t>4627186344924</t>
  </si>
  <si>
    <t>Свеча ароматическая "FRUIT CAKE", 100 мл</t>
  </si>
  <si>
    <t>4627186344948</t>
  </si>
  <si>
    <t>Свеча ароматическая "LOVER´S DREAM", 100 мл</t>
  </si>
  <si>
    <r>
      <t xml:space="preserve">КОРРЕКЦИЯ ФИГУРЫ  </t>
    </r>
    <r>
      <rPr>
        <b/>
        <sz val="12"/>
        <rFont val="Arial"/>
        <family val="2"/>
        <charset val="204"/>
      </rPr>
      <t xml:space="preserve"> </t>
    </r>
  </si>
  <si>
    <t>4627186343910</t>
  </si>
  <si>
    <t>Горячее обертывание, 300 г</t>
  </si>
  <si>
    <t>ЕАЭС N RU Д-RU.РА06.В.58099/23</t>
  </si>
  <si>
    <t>https://disk.yandex.ru/i/Lvf5XNcfk-2eOA</t>
  </si>
  <si>
    <t>Сладкий цитрусовый</t>
  </si>
  <si>
    <t>Оранжевый прозрачный</t>
  </si>
  <si>
    <t>92*92*60</t>
  </si>
  <si>
    <t>банка ПЭТ белая, пленка защитная прозрачна, крышка белая п/э</t>
  </si>
  <si>
    <t>этикетка полоска 35*284 (пленка) / этикеткакружок 80*80 (пленка)</t>
  </si>
  <si>
    <t xml:space="preserve">Биоактивный комплекс на основе капсаицина, кофеина и эфирного масла 
лиметта  активизирует  процесс  сжигания  жира,  борется  с  целлюлитом, 
возвращает  стройные  контуры  бедрам,  животу,  ягодицам.  Активные 
компоненты, проникая в глубокие слои эпидермиса, разогревают кожу, 
ускоряют кровообращение в подкожно-жировой клетчатке и усиливают 
обменные процессы, в результате чего лишние объемы в проблемных 
зонах  уходят.  Обеспечивает  лимфодренажное  действие,  способствует 
выводу  избыточной  жидкости  и  токсинов.  Кожа  становится  упругой, 
гладкой, уменьшаются видимые проявления «апельсиновой корки». За счет  повышения эластичности кожи растяжки на теле становятся менее 
заметными. Экстракты огурца и фукуса пузырчатого увлажняют, тонизируют и 
смягчают  кожу.  Рекомендован  для  программы  коррекции  фигуры, 
способствует похудению. </t>
  </si>
  <si>
    <t>Состав:  вода  деионизированная,  гипоаллергенный  мед,  гидроксиэтилцел-
люлоза, кофеин, лецитин, декстрин, экстракт зерен CoffeaArabica (зеленого 
кофе), экстракт огурца, экстракт фукуса пузырчатого, глицерин растительного 
происхождения,  каплилик/каприк  триглицериды,  цетеариловый  спирт, 
бензоат  натрия,  дегидроуксусная  кислота,  масло  терпентинное,  камфора, 
эфирное масло лиметта, бензилникотинат, кокосульфат натрия, олеорезин, 
капсаицин, сорбат калия.</t>
  </si>
  <si>
    <t>Применение:  перед  процедурой  принять  душ.  Средство  нанести  тонким 
слоем на проблемную зону, затем обернуть полиэтиленовой  плёнкой. Время 
экспозиции – 30-40 минут, для более сильного действия укрыться пледом. 
Затем снять плёнку и смыть теплой водой. Эффект можно пролонгировать, 
нанеся  на  кожу  после  процедуры  антицеллюлитный  гель  или  крем. 
Рекомендованный курс – 10-12 процедур с интервалом 1-2 дня.</t>
  </si>
  <si>
    <t>https://disk.yandex.ru/d/reVasEPCMfd3Ig</t>
  </si>
  <si>
    <t>https://www.kleona.com/telo/obertyvanie/goryachee-obertyvanie/</t>
  </si>
  <si>
    <t>4627186343903</t>
  </si>
  <si>
    <t>Холодное обертывание, 300 г</t>
  </si>
  <si>
    <t>https://disk.yandex.ru/i/DUpjqtNKBN7TnQ</t>
  </si>
  <si>
    <t>Сладкий мятно-цитрусовый</t>
  </si>
  <si>
    <t>Коричнево-зелёный</t>
  </si>
  <si>
    <t xml:space="preserve">Разработано для проведения процедуры «холодного» обертывания для 
уменьшения целлюлита в различных его стадиях. Улучшает кровообра-
щение,  обеспечивает  отток  избыточной  межклеточной  жидкости, 
стимулирует обменные процессы в жировых клетках, уменьшает объем 
проблемных  зон.  Подтягивает  кожу,  борется  с  растяжками  и 
дряблостью.  Благодаря  активным  компонентам  укрепляет  сосуды, 
тонизирует и увлажняет кожу, делая ее гладкой и упругой, а проявле- 
ния «апельсиновой корки» менее заметными. </t>
  </si>
  <si>
    <t>Состав: вода деионизированная, бентонит, каолин, глицерин растительно-
го  происхождения,  чай  матча,  экстракт  травы  хвоща,  масло  оливковое, 
масло  клещевины,  экстракт  календулы,  кофеин,  L-карнитин,  экстракт 
жимолости  японской,  ментол,  ментиллактат,  масло  кокосовое,  сквалан 
оливковый,  эфирное  масло  вербены,  эфирное  масло  мяты  индийской, 
эфирное масло мяты перечной, витамин Е (токоферола ацетат), витамин F, 
экстракт алоэ вера.</t>
  </si>
  <si>
    <t>Применение:  перед  процедурой  принять  душ.  Средство  хорошо 
перемешать, нанести тонким слоем на очищенную проблемную зону, затем 
обернуть полиэтиленовой  плёнкой. Подержать в течение 30-40 минут, для 
более сильного действия укрыться пледом. Затем снять плёнку и смыть 
теплой водой. Эффект можно усилить, нанеся на кожу после процедуры 
антицеллюлитный гель или крем. Рекомендованный курс – 10-12 процедур с 
интервалом 1-2 дня. Подходит при наличии варикозного расширения вен, 
«сосудистых  звездочек»  и  отеков.  Рекомендован  для  программы 
коррекции фигуры, способствует похудению.</t>
  </si>
  <si>
    <t>https://disk.yandex.ru/d/JgF7LRYNoecD2Q</t>
  </si>
  <si>
    <t xml:space="preserve">БУСТЕРЫ    </t>
  </si>
  <si>
    <t>4627101829932</t>
  </si>
  <si>
    <t>Крем № 0     базовый уход день/ночь, 30 мл</t>
  </si>
  <si>
    <t>30 мл</t>
  </si>
  <si>
    <t>ЕАЭС N RU Д-RU.НB51.B.00115/20</t>
  </si>
  <si>
    <t>https://disk.yandex.ru/d/YvRCpjl26dK3zw</t>
  </si>
  <si>
    <t>кремовый, растительных масел</t>
  </si>
  <si>
    <t>молочный</t>
  </si>
  <si>
    <t>124*36*36</t>
  </si>
  <si>
    <t>флакон 30 мл стекло коричневый / 18/415 дозатор кремовый черный / колпачок ТУ черный, коробка картонная</t>
  </si>
  <si>
    <t>Действие: интенсивно увлажняет и питает кожу, поддерживает её вы-_x0003_сокую гидратацию в течение 24 часов. Оказывает смягчающее и успокаивающее действие, придает коже неве-_x0003_роятную гладкость, устраняет чувство стянутости. Церамиды и фосфолипиды быстро восстанавливают липид-_x0003_ный барьер кожи и способствуют проникновению биологически актив-_x0003_ных веществ в её глубокие слои.
Универсален в применении. Подходит для всех типов кожи, в т.ч. обезвоженной, чувствительной, возрастной_x0003_и склонной к куперозу. Прекрасно сочетается с бустерами и позволяет легко создавать схемы индивидуального ухода с интенсивным направлен-_x0003_ным действием.
Для ежедневного применения.</t>
  </si>
  <si>
    <t>Состав: вода деионизированная, масло карите, масло клещевины, цетеариловый спирт, глицерин растительного происхождения, масло миндальное, инулин, масло рисовых отрубей, комплекс нативных α-ОН-церамидов, фосфо-_x0003_липиды, комплекс незаменимых поли-_x0003_ненасыщенных жирных кислот, полиг-_x0003_лицерил-3-метилглюкозы дистеарат, глюконолактон, молочная кислота, лактат натрия, ниацинамид (витамин В3), глицерил лаурат, экстракт жимо-_x0003_лости японской, токоферола ацетат (витамин Е), гиалуроновая кислота низкомолекулярная, камедь горохо-_x0003_вого дерева, ксантановая камедь.</t>
  </si>
  <si>
    <t>Способ применения: необходимое количество крема нанесите на очищен-_x0003_ную кожу лица и распределите легкими движениями по массажным линиям.
Для использования вместе с бус-_x0003_терами: небольшое количество крема смешайте на ладони с 2-3 каплями бустера, после чего легкими движениями нанесите на очищенную кожу лица.
Избегайте попадания крема в глаза.</t>
  </si>
  <si>
    <t>https://disk.yandex.ru/d/0Zy8kMfJymt3Kw</t>
  </si>
  <si>
    <t>https://kleona.com/lico/kremy_dlya_litsa/krem-dlya-lica-s-fitoceramidami-den-noch/</t>
  </si>
  <si>
    <t>4627101829901</t>
  </si>
  <si>
    <t>Бустер № 1     Антистресс уход, 15 мл</t>
  </si>
  <si>
    <t>15 мл</t>
  </si>
  <si>
    <t>ЕАЭС N RU Д-RU.НВ51.В.00062/20</t>
  </si>
  <si>
    <t>https://disk.yandex.ru/d/ibVygyU3oGeuqQ</t>
  </si>
  <si>
    <t>25+</t>
  </si>
  <si>
    <t>практически отсутствует</t>
  </si>
  <si>
    <t>полупрозраяный белесый</t>
  </si>
  <si>
    <t>98*63*31</t>
  </si>
  <si>
    <t>флакон 20 мл стекло коричневый / 18/415пипетка черная / колпачок ТУ прозрачный, коробка картонная</t>
  </si>
  <si>
    <t xml:space="preserve">• оказывает успокаивающее, восстанавливающее, противовоспалительное, заживляющее действие на кожу, в т.ч. на чувствительную; 
• эффективно и длительно увлажняет сухую кожу, убирает шелушение, снимает ощущение стянутости (при использовании вместе с питательным ухаживающим кремом *);
• уменьшает чувствительность и реакцию кожи на раздражающее действие окружающей среды;
• корректирует недостатки зрелой кожи;
• сокращает сроки восстановления кожи после травмирующих косметических процедур (пилинги, чистки, лазер и т.п.); 
• стимулирует эффективную регенерацию кожи при солнечных ожогах.
</t>
  </si>
  <si>
    <t>Состав: вода деионизированная, масло миндальных косточек, свекольный бетаин, глицерин растительного происхождения, экстракт трех австралийских суперфруктов: сливы какаду, сливы иллаварской и сливы бурдекинской, масло календулы, D-пантенол (провитамин В5), ниацинамид (витамин В3), гиалуроновая кислота низкомолекулярная, экстракт японской жимолости, масло клещевины, кофеин, токоферола ацетат (витамин Е), глюкозиды природных жирных кислот (кокоглюкозиды), увлажняющий полисахаридный комплекс на основе красных морских водорослей, экстракт алоэ вера, гиалуроновая кислота высокомолекулярная, глицерилолеат, бисаболол, комплекс полиненасыщенных высших жирных кислот (витамин F), аллантоин, янтарная кислота.</t>
  </si>
  <si>
    <t xml:space="preserve">Применение: бустер может использоваться как самостоятельно, ориентируясь на состояние и реакцию кожи, так и в смеси с ухаживающими кремами.
При самостоятельном использовании наносите бустер только в один слой.
При уходе за кожей лица и зоной декольте смешайте бустер с ухаживающим кремом. Для этого возьмите на ладонь немного крема, добавьте 2-3 капли бустера, перемешайте до однородности и нанесите на чистую кожу. 
При уходе за кожей вокруг глаз используйте бустер только с ухаживающим кремом (в этом случае рекомендуется добавить к  крему 1 каплю бустера).
Используйте бустер 1-2 раза в день ежедневно или с интервалом 1-2 дня в зависимости от состояния кожи.  
Если после впитывания на коже присутствует остаточная липкость, уменьшите количество бустера. 
Легкое пощипывание и покраснение, которые могут появиться, являются нормальной физиологической реакцией кожи на активные ингредиенты бустера. Они проходит самостоятельно через непродолжительное время.
* При уходе за кожей лица рекомендуется совместное применение с бустера с кремом №0 с церамидами от компании «Клеона»
</t>
  </si>
  <si>
    <t>https://disk.yandex.ru/d/95ULCBq3cTtNsQ</t>
  </si>
  <si>
    <t>https://kleona.com/lico/bustery/buster-antistress-uhod/</t>
  </si>
  <si>
    <t>http://kleona.tilda.ws/boosters</t>
  </si>
  <si>
    <t>4627101829918</t>
  </si>
  <si>
    <t>Бустер № 2    Аnti-age восстановление, 15 мл</t>
  </si>
  <si>
    <t>Полупрозрачный оранжевый</t>
  </si>
  <si>
    <t xml:space="preserve">Действие: при регулярном применении оказывает выраженный Anti-Age эффект; ускоряет процессы обновления и омоложения кожи; тонизирует, укрепляет контур лица;
•  за счет ускорения синтеза структурных белков - эластина и коллагена, улучшает общее состояние кожи – упругость и эластичность, способствует разглаживанию сетчатых и мимических морщин;
• эффективно и на длительное время увлажняет сухую и очень сухую кожу (при использовании совместно с питательным ухаживающим кремом *);
• делает кожу приятно гладкой и бархатистой на ощупь, придает ей свежий вид.
</t>
  </si>
  <si>
    <t>Состав: вода деионизированная, масло миндальных косточек, свекольный бетаин, глицерин растительного происхождения, фосфолипиды растительного происхождения, масло бабассу, D-пантенол (провитамин В5), ниацинамид (витамин В3), экстракт коры красного канадского клена, гиалуроновая кислота низкомолекулярная, аминокислоты: β-аланин аргинин, валин, гистидин, глютамин, изолейцин, лейцин, лизин, метионин, таурин, тирозин, треонин, фенилаланин, цитруллин, экстракт японской жимолости, кофеин, масло клещевины, токоферола ацетат (витамин Е), глюкозиды природных жирных кислот (кокоглюкозиды), глицерилолеат, комплекс полиненасыщенных высших жирных кислот (витамин F), молочная кислота, янтарная кислота.</t>
  </si>
  <si>
    <t>https://disk.yandex.ru/d/uF4rUSXmXtpcdQ</t>
  </si>
  <si>
    <t>https://kleona.com/lico/bustery/buster-anti-age-vosstanovlenie/</t>
  </si>
  <si>
    <r>
      <t xml:space="preserve">АЛЬГИНАТНЫЕ МАСКИ </t>
    </r>
    <r>
      <rPr>
        <b/>
        <sz val="10"/>
        <color rgb="FFFF0000"/>
        <rFont val="Arial"/>
        <family val="2"/>
        <charset val="204"/>
      </rPr>
      <t xml:space="preserve">  </t>
    </r>
    <r>
      <rPr>
        <b/>
        <sz val="15"/>
        <color rgb="FFFF0000"/>
        <rFont val="Arial"/>
        <family val="2"/>
        <charset val="204"/>
      </rPr>
      <t xml:space="preserve"> </t>
    </r>
  </si>
  <si>
    <t>дой-пак ПЭ</t>
  </si>
  <si>
    <t>https://disk.yandex.ru/d/cIbObgHGOTDz3A</t>
  </si>
  <si>
    <t>https://disk.yandex.ru/i/5Yb8D6GDtzRNcQ</t>
  </si>
  <si>
    <t>https://disk.yandex.ru/d/ZI-qHeKBHAFxYA</t>
  </si>
  <si>
    <t>https://disk.yandex.ru/i/MYlmOAaoVuUBlA</t>
  </si>
  <si>
    <t>https://disk.yandex.ru/i/_hVoILchcX31dg</t>
  </si>
  <si>
    <t xml:space="preserve">СКРАБЫ и МАСКИ для лица    </t>
  </si>
  <si>
    <t>Гоммаж деликатный с гранулами жожоба, 75 мл</t>
  </si>
  <si>
    <t>75 мл</t>
  </si>
  <si>
    <t>ЕАЭС N RU Д-RU.НА38.В.02099/19</t>
  </si>
  <si>
    <t>https://disk.yandex.ru/d/6EIrWSZcBiGYBg</t>
  </si>
  <si>
    <t>140*54*34</t>
  </si>
  <si>
    <t>туба ПНД / клапан / бушон флип-топ</t>
  </si>
  <si>
    <t>ПНД</t>
  </si>
  <si>
    <t>Гоммаж с гранулами жожоба нежно очищает поры и удаляет ороговевший эпителий, не травмируя кожу. Выравнивает рельеф кожи, делает ее более гладкой, нежной, увлажненной, разглаживает морщинки, вызванные сухостью кожи. Освежает цвет лица, улучшает кожное дыхание, стимулирует процессы обновления и регенерации кожи. Повышает эффективность ухаживающих за кожей средств.</t>
  </si>
  <si>
    <t>Состав: вода деионизированная, масло миндальных косточек, гранулы жожоба (белые и окрашенные), глицерин растительного происхождения, дециловый глюкозид, масло ши, масло манго, соевый лецитин, цетеариловый спирт, стеариновая кислота, масло жожоба, экстракт жимолости японской, сорбитанкаприлат, масло облепиховое,  токоферола ацетат (витамин Е), комплекс полиненасыщенных жирных кислот (Витамин F).</t>
  </si>
  <si>
    <t>Способ применения: небольшое количество гоммажа нанести на чистую влажную кожу и помассировать легкими круговыми движениями. Смыть гоммаж теплой водой с помощью спонжа. 
Использовать не чаще 1-2 раза в неделю.</t>
  </si>
  <si>
    <t>https://disk.yandex.ru/d/fGoKnngUZ0DXww</t>
  </si>
  <si>
    <t>https://www.kleona.com/lico/skraby_dlya_lica/gommazh_delikatnyj/</t>
  </si>
  <si>
    <t>http://kleona.tilda.ws/skrabi_gommaj_maska</t>
  </si>
  <si>
    <t>аэ</t>
  </si>
  <si>
    <t xml:space="preserve">Крем-скраб мягкий с косточками малины, 75 мл  </t>
  </si>
  <si>
    <t>ЕАЭС N RU Д-RU.НА38.В.02100/19</t>
  </si>
  <si>
    <t>https://disk.yandex.ru/d/UAj2xSc1Jxj-DQ</t>
  </si>
  <si>
    <t>Для всех типов кожи
Крем-скраб с косточками малины мягко очищает и отшелушивает ороговевшие клетки эпителия. Выравнивает рельеф и устраняет шелушение кожи, придает ей  гладкость и бархатистость. Повышает эффективность использования ухаживающих за кожей средств. Регулярное применение скраба стимулирует процессы обновления и регенерации кожи, придает ей свежий здоровый вид.</t>
  </si>
  <si>
    <t xml:space="preserve">Состав: вода деионизированная, масло миндальных косточек, косточки малины, глицерин растительного происхождения, дециловый глюкозид, масло ши, масло манго, соевый лецитин, цетеариловый спирт, стеариновая кислота, сублимированная малина, экстракт жимолости японской, сорбитанкаприлат, токоферола ацетат (витамин Е), комплекс полиненасыщенных жирных кислот (Витамин F), масляный экстракт натуральной ванили, пищевой ароматизатор "Малина". </t>
  </si>
  <si>
    <t>Не применять при ссадинах, царапинах, акне, демодекозе, герпесе и атопических дерматитах, а также для области вокруг глаз.
Способ применения: нанести крем-скраб на чистую влажную кожу, помассировать легкими круговыми движениями, смыть тёплой водой. Использовать 1-2 раза в неделю.</t>
  </si>
  <si>
    <t>https://disk.yandex.ru/d/fdMJA2xDjE0dvQ</t>
  </si>
  <si>
    <t>https://www.kleona.com/lico/skraby_dlya_lica/krem-skrab_myagkij/</t>
  </si>
  <si>
    <t>Маска очищающая с чаем матча, 65 г (+ ШПАТЕЛЬ)</t>
  </si>
  <si>
    <t>65 г</t>
  </si>
  <si>
    <t>ЕАЭС N RU Д-RU.НА38.В.02101/19</t>
  </si>
  <si>
    <t>https://disk.yandex.ru/d/9j5tTsT_bI7pLg</t>
  </si>
  <si>
    <t>51*Ø55</t>
  </si>
  <si>
    <t>банка</t>
  </si>
  <si>
    <t>стекло</t>
  </si>
  <si>
    <t>Маска с белой глиной хорошо очищает поры, вытягивая и абсорбируя загрязнения и секрет сальных желез, оказывает детокс-эффект и предотвращет образование камедонов и воспаление кожи. Чай матча тонизирует кожу, усиливает капиллярное кровообращение, оказывает антиоксидантное и омолаживающее действие. Маска освежает и выравнивает цвет лица. Придает коже гладкость и бархатистость.</t>
  </si>
  <si>
    <t>Состав: вода деионизированная, бентонит, каолин, олеат натрия, глицерин растительного происхождения, зеленый чай матча, масло оливковое, масло касторовое, масляный экстракт натуральной ванили, бензиловый спирт, глицерилкаприлат, масло календулы, каприлик/каприк триглицериды, гель алое-вера, аскорбилфосфат магния (витамин С), сульфат натрия, эфирное масло мяты индийской, эфирное масло эвкалипта, токоферола ацетат (витамин Е), ретинола пальмитат (витамин А).</t>
  </si>
  <si>
    <t xml:space="preserve">Способ применения: очистить лицо, нанести на область вокруг глаз крем или масло, затем нанести очищающую маску  на лицо густым слоем на 15-25 минут. Смыть маску теплой водой с помощью спонжа. Нанести на кожу увлажняющую сыворотку. Использовать 1-2 раза в неделю. </t>
  </si>
  <si>
    <t>https://disk.yandex.ru/d/i_cs9MYChR3LRw</t>
  </si>
  <si>
    <t>https://www.kleona.com/lico/skraby_dlya_lica/maska_ochishchayushchaya/</t>
  </si>
  <si>
    <t xml:space="preserve">Серия "ANTI-AGE"   (для возрастной кожи)     </t>
  </si>
  <si>
    <t>№ 0.1   Гель для умывания, 100 мл</t>
  </si>
  <si>
    <t>100 мл</t>
  </si>
  <si>
    <t xml:space="preserve"> ЕАЭС N RU Д-RU.РА09.В.10684/22</t>
  </si>
  <si>
    <t>https://disk.yandex.ru/d/KwgZd7aAqlaOnQ</t>
  </si>
  <si>
    <t>легкий травяной</t>
  </si>
  <si>
    <t>желтый прозрачный</t>
  </si>
  <si>
    <t>145*51*28</t>
  </si>
  <si>
    <t xml:space="preserve">флакон 100 мл ПЭТ коричневый П / 20/410 дозатор кнопочный черный / колпачок ТУ черный </t>
  </si>
  <si>
    <t xml:space="preserve">Действие: гель разработан специально для зрелой кожи. Основой геля являются экстракты трав: шалфея, выравнивающего цвет кожи; хмеля, тонизирующего кожу; липы и экстракта алоэ вера, увлажняющих и смягчающих кожу; листьев березы, успокаивающих кожу. Компоненты геля бережно воздействуют на кожу лица, мягко очищают от загрязнений и остатков макияжа, оставляют чувство свежести. Гель не вызывает раздражения, неприятного ощущения сухости и стянутости кожи, сохраняет липидный слой. Не содержит щелочного мыла и растворителей. Экономичен в использовании. Рекомендован для нормальной и жирной кожи.
</t>
  </si>
  <si>
    <t>Состав: вода деионизированная, экстракт шалфея, экстракт листьев березы, экстракт цветков липы, экстракт хмеля, мягкая зеленая моющая основа, глицерил олеат, экстракт алоэ вера, лактат калия, бензиловый спирт, глицерил каприлат, цетеариловый спирт, аллантоин. (*включает в себя лаурилглюкозид натрия, кокоилглутамат натрия, лаурилглюкозкарбоксилат натрия, кокоамфоацетат натрия, кокосульфат натрия, кокоглюкозид натрия).</t>
  </si>
  <si>
    <t>Применение: выдавите  необходимое  количество геля  на  мокрые  ладони,  вспеньте,  распределите пену  по  лицу  легкими  круговыми  массажными движениями, тщательно смойте водой.</t>
  </si>
  <si>
    <t>https://disk.yandex.ru/d/4SrbwS0cenyaCw</t>
  </si>
  <si>
    <t>https://kleona.com/lico/dlya-umyvaniya-i-udaleniya-makiyazha/gel-dlya-umyvaniya-seriya-anti-age/</t>
  </si>
  <si>
    <t>№4</t>
  </si>
  <si>
    <t>145*112*168</t>
  </si>
  <si>
    <t>150*115*171</t>
  </si>
  <si>
    <t>п-05/12</t>
  </si>
  <si>
    <t>№ 0.2   Молочко для демакияжа области вокруг глаз, 150 мл</t>
  </si>
  <si>
    <t>150 мл</t>
  </si>
  <si>
    <t>ЕАЭС № RU Д-RU.РА08.В.99090/22</t>
  </si>
  <si>
    <t>https://disk.yandex.ru/d/mgLitxE1wey17g</t>
  </si>
  <si>
    <t>светло-бежевый</t>
  </si>
  <si>
    <t>165*52*34</t>
  </si>
  <si>
    <t xml:space="preserve">флакон 150 мл ПЭТ коричневый П / 20/410 помпа-дозирующая белая </t>
  </si>
  <si>
    <t>Действие: невероятно нежное молочко обеспечивает полноценное очищение области вокруг глаз. Комплекс масел и натуральных компонентов эффективно и деликатно очищает кожу от разного вида макияжа, смягчает её, делает гладкой и бархатистой. Устраняет сухость и обезвоженность, поддерживает естественный уровень увлажнённости, сохраняет упругость кожи. Снимает признаки усталости и стресса.</t>
  </si>
  <si>
    <t>Состав: талая вода ледников Северного Кавказа, масло миндальных косточек, масло клещевины, масло арганы, экстракт зеленого чая, цетеариловый спирт, масло жожоба, экстракт ромашки лекарственной, каприк/каприлик триглицериды, цетеарил гликозиды отрубей пшеницы, бензиловый спирт, кокоилсаркозинат натрия, лимонен, ксантановая камедь, молочная кислота.</t>
  </si>
  <si>
    <t xml:space="preserve">Применение: необходимое количество молочка нанесите на влажный ватный диск и очистите область вокруг глаз. Для завершения процедуры удалите остатки молочка водой, тоником или гидролатом. Подходит для демакияжа и очищения кожи лица.
Избегайте попадания молочка на слизистую оболочку глаз.
</t>
  </si>
  <si>
    <t>https://disk.yandex.ru/d/TNXwQDANjGQqgQ</t>
  </si>
  <si>
    <t>https://kleona.com/lico/dlya-umyvaniya-i-udaleniya-makiyazha/molochko-dlya-demakiyazha-oblasti-vokrug-glaz-seriya-anti-age/</t>
  </si>
  <si>
    <t>р</t>
  </si>
  <si>
    <t>165*104*204</t>
  </si>
  <si>
    <t>170*180*135</t>
  </si>
  <si>
    <t>К-07/9</t>
  </si>
  <si>
    <t>145*165*125</t>
  </si>
  <si>
    <t>№ 0.3   Двухфазная эмульсия для снятия макияжа, 200 мл</t>
  </si>
  <si>
    <t>200 мл</t>
  </si>
  <si>
    <t>легкий лавандовый</t>
  </si>
  <si>
    <t>белый (при взбалтывании</t>
  </si>
  <si>
    <t>160*64*36</t>
  </si>
  <si>
    <t>флакон 200 мл ПЭТ коричневый Ц / 24/410 диск-топ черный</t>
  </si>
  <si>
    <t>Действие: легкая двухфазная эмульсия превосходно  снимает  макияж,  увлажняет  и  смягчает  кожу. Экстракты  череды,  тысячелистника  и  D-пантенол снимают  раздражение.  Эфирные  масла  голубой ромашки  и  чабреца  оказывают  противовоспалительное  действие.  Масло  лаванды  одновременно успокаивает и тонизирует кожу. Масло календулы и витамин Е обладают антиоксидантной активностью, замедляют процессы старения, придают коже мягкость и бархатистость. Двухфазная эмульсия улучшает кожное дыхание, обеспечивает чувство комфорта,  освежает  цвет  лица.  Тонкий  травянистый аромат оказывает релаксирующее действие.</t>
  </si>
  <si>
    <t>Состав: талая  вода  ледников  Северного  Кавказа, масло  календулы,  масло  жожоба,  экстракт  череды, экстракт тысячелистника, масло кокосовое, цетеариловый спирт, кокоилсаркозинат натрия, стеарат сахарозы, D-пантенол, бензиловый спирт, эфирное масло лаванды,  эфирное  масло  чабреца,  эфирное  масло голубой ромашки, токоферола ацетат (витамин Е).</t>
  </si>
  <si>
    <t xml:space="preserve">Применение: перед  использованием  интенсивно встряхните флакон для соединения двух фаз. Необходимое количество эмульсии нанесите на ватный диск и очистите лицо и область вокруг глаз. Остатки эмульсии удалите водой или гидролатом.
Избегайте попадания эмульсии на слизистую оболочку глаз. 
</t>
  </si>
  <si>
    <t>https://disk.yandex.ru/d/NCgF6xMdCObVQQ</t>
  </si>
  <si>
    <t>https://kleona.com/lico/dlya-umyvaniya-i-udaleniya-makiyazha/dvuhfaznaya-emul-siya-dlya-snyatiya-makiyazha-seriya-anti-age/</t>
  </si>
  <si>
    <t>№ 0.4   Гидрофильное масло для умывания и снятия макияжа, 150 мл</t>
  </si>
  <si>
    <t>ЕАЭС N RU Д-RU.РА04.В.56118/23</t>
  </si>
  <si>
    <t>https://disk.yandex.ru/i/YGjIEdHHk5R11w</t>
  </si>
  <si>
    <t>165*52*36</t>
  </si>
  <si>
    <t xml:space="preserve">Действие: гидрофильное масло глубоко и деликатно очищает кожу от сложного макияжа. Благодаря богатому составу высококачественных масел легко растворяет и связывает жиры и воски, содержащиеся в декоративной косметике. Эффективно очищает кожу, особенно поры Т-зоны, от секрета сальных желез, сужает их. Масло зверобоя оказывает бактерицидное и противовоспалительное действие, ускоряет обновление эпидермиса и регенерацию тканей. Масло жожоба и масло зародышей кукурузы тонизируют, повышают упругость и эластичность кожи, оказывают легкий лифтинговый эффект.  </t>
  </si>
  <si>
    <t>масло рисовых отрубей, масло оливковое, масло зверобоя, масло жожоба, масло зародышей кукурузы, пшеничный воск, масло кокосовое, бензиловый спирт, эфирное масло лаванды, эфирное масло чабреца, лимонен, токоферола ацетат (витамин Е).</t>
  </si>
  <si>
    <t>Подберите для себя наилучший вариант: для очищения жирной кожи нанесите необходимое количество масла на сухую кожу; для очищения сухой и нормальной кожи – на увлажненную.
Смочите руки и легкими массирующими движениями проведите процедуру очищения, уделяя особое внимание Т-зоне.
Для снятия макияжа с области вокруг глаз используйте увлажненный ватный диск.
Смойте масло теплой водой, можно с гелем для умывания. При  необходимости удалите остатки масла тоником или лосьоном.
Избегайте попадания масла на слизистую оболочку глаз.</t>
  </si>
  <si>
    <t>https://disk.yandex.ru/d/kTqoVGV-dp3t4w</t>
  </si>
  <si>
    <t>https://kleona.com/lico/dlya-umyvaniya-i-udaleniya-makiyazha/gidrofil-noe-maslo-dlya-snyatiya-makiyazha-seriya-anti-age/</t>
  </si>
  <si>
    <t>В</t>
  </si>
  <si>
    <t>№ 1.1   Тоник Родиола розовая, 100 мл</t>
  </si>
  <si>
    <t>ТС N RU Д-RU.НА88.В.18042/19</t>
  </si>
  <si>
    <t>https://disk.yandex.ru/d/ZSBJZ4PzziAb5w</t>
  </si>
  <si>
    <t>розово-травяной</t>
  </si>
  <si>
    <t>малиновый прозрачный</t>
  </si>
  <si>
    <t>140*Ø45</t>
  </si>
  <si>
    <t>флакон 100 мл стекло коричневый / 18/415 распылитель черный / колпачок ТУ</t>
  </si>
  <si>
    <t xml:space="preserve">Действие: натуральный тоник на основе гидролата родиолы розовой рекомендуется для интенсивного ухода за зрелой кожей лица, шеи и зоны декольте. Мощный биостимулятор, обладает омолаживающими и адаптогенными свойствами. Усиливает микроциркуляцию, оказывает разогревающее воздействие на кожу. Насыщает ее влагой, тонизирует, повышает упругость и эластичность. Содержащиеся в родиоле розовой органические кислоты – янтарная, виноградная, яблочная – выполняют роль мягкого пилинга, отшелушивают старые клетки и  улучшают цвет лица. Салидрозид и розавин стимулируют процессы регенерации, обновляют кожу и делают ее мягкой, гладкой и бархатистой. Тоник обладает иммуностимулирующим действием, помогает коже справляться со стрессами – плохой экологией,  перепадами  температур,  воздействием  декоративной косметики. Хорошая увлажняющая основа под макияж. </t>
  </si>
  <si>
    <t>Состав: продукт паровой дистилляции корней родиолы розовой (Rhodiola rosea), экстракт корней родиолы розовой.</t>
  </si>
  <si>
    <t>Применение: рекомендуется использовать для утреннего умывания и/или завершения процедуры очищения и демакияжа. Для увлажнения – закройте глаза, распылите тоник на лицо, шею и зону декольте, для очищения – смочите ватный диск тоником и протрите кожу. Затем нанесите основное средство ухода.</t>
  </si>
  <si>
    <t>https://disk.yandex.ru/d/JWd7T-kICazy7w</t>
  </si>
  <si>
    <t>https://kleona.com/lico/toniki-i-los-ony/tonik-rodiola-rozovaya-seriya-anti-age/</t>
  </si>
  <si>
    <t>145*190*141</t>
  </si>
  <si>
    <t>п-4/12</t>
  </si>
  <si>
    <t>№ 2.1   Крем-сыворотка с эффектом ботокса для кожи вокруг глаз, 15 мл</t>
  </si>
  <si>
    <t>диспенсер</t>
  </si>
  <si>
    <t>ЕАЭС №RU Д-RU.РА08.В.97196/22</t>
  </si>
  <si>
    <t>https://disk.yandex.ru/d/z9VYi5vrrOxGsg</t>
  </si>
  <si>
    <t>40+</t>
  </si>
  <si>
    <t>белый</t>
  </si>
  <si>
    <t>диспенсер ПП / коробка картонная</t>
  </si>
  <si>
    <t xml:space="preserve">Действие: антивозрастная крем-сыворотка интенсивного действия с эффектом ботокса. Позволяет выглядеть значительно моложе, сохраняя неповторимую индивидуальность мимики лица. Действие сыворотки заключается в интенсивной гидратации кожи, при которой устраняется обезвоживание, после чего естественным образом уменьшается глубина мимических и возрастных морщин в уголках глаз. Сыворотка экстренно решает проблемы «уставшей» кожи (переутомление, стресс, недосып и т.д). Снимает усталость, напряжение глаз и придает чувство комфорта. Уменьшает отечность, тонизирует, освежает, делает взгляд более выразительным. Неоценимое достоинство сыворотки - результат виден после первого применения. 
Длительный эффект от использования сыворотки достигается за счет разномолекулярных природных полисахаридов морских водорослей и цикория, которые формируют на поверхности кожи век легкую незаметную мантию, надолго сохраняющую влагу в коже.
</t>
  </si>
  <si>
    <t>Состав: вода деионизированная, масло ши, масло миндальных косточек, экстракт красных и бурых морских водорослей, масло оливковое, масло кокосовое, полисахариды корня цикория, масло макадамии, полиглицерил-3-метилглюкозы дистеарат, глюкоза, масло кукурузных початков, холестерол, хитозана сукцинат, мальтоза, экстракт жимолости японской, биосахаридная камедь, бензиловый спирт, глицерил каприлат, аллантоин, токоферола ацетат (витамин Е), сукцинат натрия, ксантановая камедь.</t>
  </si>
  <si>
    <t>Применение: выдавите необходимое количество крема-сыворотки на кончик пальца, легкими похлопывающими движениями нанесите тонким слоем на очищенную кожу век. Используйте утром или по необходимости. При постоянном применении обязательно чередуйте с питательным кремом № 2.2 серии «Anti-age» KLEONA. Может использоваться для разглаживания неглубоких морщинок в области носогубных складок и уголков губ.</t>
  </si>
  <si>
    <t>https://disk.yandex.ru/d/Y2huF_6n7Vr2CQ</t>
  </si>
  <si>
    <t>№8</t>
  </si>
  <si>
    <t>№ 2.2   Крем для кожи вокруг глаз день-ночь, 15 мл</t>
  </si>
  <si>
    <t>Действие: Легкий и нежный крем восстанавливает жизненную силу, молодость и эластичность кожи вокруг глаз, разглаживает уже существующие морщинки и сдерживает появление новых. Активные ингредиенты крема оказывают мощное увлажняющее действие, длительно поддерживают гидролипидный баланс на оптимальном уровне. Биомиметический липопептид стимулирует выработку компонентов дерма-эпидермальной сшивки (коллагена, ламинина и фибронектина), благодаря чему кожа становится более упругой и подтянутой. Крем уменьшает припухлости и темные круги под глазами, придает коже ухоженный вид и здоровое сияние. Благодаря легкой текстуре быстро впитывается, не оставляя жирных следов.</t>
  </si>
  <si>
    <t xml:space="preserve">Состав: вода деионизированная, масло карите, масло миндальных косточек, масло кокосовое, масло оливковое, полиглицерил-3-метилглюкозы дистеарат, экстракт белого чая, масло макадамии, глюкоза, биомиметический липопептид (фактор роста), полисахариды (экстракт) красных и бурых океанических водорослей, галактуроновая кислота, холестерин, масло жожоба, экстракт жимолости японской, сорбитол, декстран, L-фукоза, D-галактоза, глицерил каприлат, аллантоин, комплекс полиненасыщенных жирных кислот (витамин F), токоферола ацетат (витамин Е).
</t>
  </si>
  <si>
    <t>Применение: необходимое количество крема выдавите на кончик пальца, легкими похлопывающими движениями нанесите тонким слоем на очищенную кожу век. Используйте утром за 20 минут до нанесения макияжа, вечером - за 40 минут до сна.</t>
  </si>
  <si>
    <t>https://disk.yandex.ru/d/xzpC2TBNzfhrVg</t>
  </si>
  <si>
    <t>https://kleona.com/lico/dlya-vek-i-zony-vokrug-glaz/krem-dlya-kozhi-vokrug-glaz-den-noch-seriya-anti-age/</t>
  </si>
  <si>
    <t xml:space="preserve">№ 2.3   Крем с матриксилом для кожи вокруг глаз день-ночь, 15 мл </t>
  </si>
  <si>
    <t>ЕАЭС №RU Д-RU.ТР06.В.06416/19</t>
  </si>
  <si>
    <t>https://disk.yandex.ru/d/SDJNUiA2q3cg3Q</t>
  </si>
  <si>
    <t>98*63*36</t>
  </si>
  <si>
    <t>Коллаген-стимулирующие пептиды Matrixyl™ усиливают синтез коллагена и гиалуроновой кислоты в зоне аппликации крема, благодаря чему уменьшается длина и глубина крупных морщин и они  становятся менее выраженными. Кожа уплотняется, становится более упругой, что укрепляет контур вокруг глаз и предупреждает провисание нижнего века. Экстракт цветков маргаритки уменьшает пигментацию кожи и делает возрастные пятна менее заметными. Масло примулы вечерней способствует быстрому разглаживанию мелких морщин. Крем интенсивно увлажняет и длительно поддерживает гидролипидный баланс на оптимальном уровне. Быстро впитывается, не оставляя жирных следов и липкости. Устойчивые результаты от применения крема достигаются через 2 месяца регулярного использования.</t>
  </si>
  <si>
    <t>Состав: вода деионизированная, композиция тетрапептидов пальмитилтетрапептид-1 и пальмитилтетрапептид-7 (Matrixyl™), масло миндальных косточек, масло зародышей кукурузы, глюкоза, полиглицерил-3-метилглюкозы дистеарат, масло макадамии, масло клещевины, каприлик/каприк триглицериды, масло ши, масло примулы вечерней, экстракт цветков маргаритки, масло оливковое, экстракт жимолости японской, растительные фосфолипиды, гиалуроновая кислота низкомолекулярная,  глицерилкаприлат, токоферола ацетат (витамин Е), комплекс полиненасыщенных жирных кислот (витамин F), аллантоин, экстракт алоэ вера, ксантановая камедь.</t>
  </si>
  <si>
    <t>https://yadi.sk/i/pmOh2oOzgBwCSg</t>
  </si>
  <si>
    <t>https://kleona.com/lico/dlya-vek-i-zony-vokrug-glaz/mul-tifunkcional-nyj_krem_dlya_kozhi_vokrug_glaz/</t>
  </si>
  <si>
    <r>
      <t xml:space="preserve">№ 2.4  Крем-миорелаксант с ядом конической улитки для кожи вокруг глаз, 15 мл   </t>
    </r>
    <r>
      <rPr>
        <b/>
        <sz val="10"/>
        <color rgb="FFFF0000"/>
        <rFont val="Arial"/>
        <family val="2"/>
        <charset val="204"/>
      </rPr>
      <t>НОВИНКА</t>
    </r>
  </si>
  <si>
    <t>ЕАЭС N RU Д-RU.РА05.В.91381/23</t>
  </si>
  <si>
    <t>https://disk.yandex.ru/i/Diu-7oSAUuaWjA</t>
  </si>
  <si>
    <t>30+</t>
  </si>
  <si>
    <t>102*62*37</t>
  </si>
  <si>
    <t>диспенсер 15 мл коричневый прозрачный с черным100*34*34 / дозатор черный / колпачок прозрачный / колпачок ТУ</t>
  </si>
  <si>
    <t>этикетка пленка (софтач) 45*110 / коробка (мат.лам.)102*62*37</t>
  </si>
  <si>
    <t xml:space="preserve">крем для кожи вокруг глаз с уникальными свойствами сокращает мимические морщины, обеспечивает интенсивное увлажнение и комфорт. Основным компонентом крема является нейроактивный токсин (минипротеин), полученный из морской конической улитки. Он блокирует электрический импульс, вызывающий сокращение мышцы, в результате чего мышца расслабляется, а мимические морщины разглаживаются. При этом естественная мимика и чувствительность сохраняются. Ботокс-эффект виден уже через несколько применений и сохраняется на протяжении долгого времени. Продукт уменьшает морщины в уголках глаз и на лбу, делает лицо молодым, а мимику более мягкой. Кожа вокруг глаз становится ровной, подтянутой и сияющей, приобретает ухоженный и отдохнувший вид. 
Крем абсолютно безопасен для наружного применения. При производстве строго соблюден рекомендованный процент ввода минипротеина из яда конической улитки, случайное попадание крема на слизистые вреда не нанесет.
</t>
  </si>
  <si>
    <t xml:space="preserve">Состав: вода деионизированная, масло оливковое, глицерин растительного происхождения, масло рисовых отрубей, цетеариловый спирт, масло карите, масло косточек миндаля, масло клещевины, цетеариловые глюкозиды (из пшеницы), глицерил стеарат, стеарат сахарозы, сквалан, каприлик/каприк триглицериды, экстракт ламинарии сахаристой, экстракт бурых водорослей, экстракт жимолости японской, миорелаксантный минипротеин из яда конической улитки, пчелиный воск, рисовый воск, токоферола ацетат (витамин Е), ксантановая камедь, эфирное масло розового дерева. </t>
  </si>
  <si>
    <t xml:space="preserve">Способ применения: необходимое количество крема выдавите на кончик пальца, легкими 
похлопывающими движениями нанесите тонким слоем на очищенную кожу вокруг глаз. Используйте утром за 20 минут до нанесения макияжа, вечером - за 40 минут до сна.
Применяйте крем курсами от 2-х до 3-х месяцев с интервалом от 1-го до 4-х месяцев.
</t>
  </si>
  <si>
    <t>https://disk.yandex.ru/d/bbjUbEMmd7FLCg</t>
  </si>
  <si>
    <t xml:space="preserve">№ 3.1   Дневной крем для лица интенсив-актив, 30 мл  </t>
  </si>
  <si>
    <t>107*33*33</t>
  </si>
  <si>
    <t>флакон 30 мл стекло коричневый / 18/415 дозатор кремовый черный / колпачок ТУ</t>
  </si>
  <si>
    <t>Действие: крем обеспечивает полноценный уход за кожей лица и корректирует возрастные изменения. Аминокислоты и полисахариды океанических водорослей оказывают мощное увлажняющее действие, длительно поддерживают гидролипидный баланс на оптимальном уровне. Биомиметический липопептид стимулирует выработку компонентов дерма-эпидермальной сшивки (коллагена, ламинина и фибронектина), благодаря чему кожа становится упругой и подтянутой. Крем разглаживает уже существующие морщинки и препятствует появлению новых. Экстракт маргаритки блокирует синтез меланина, осветляет пигментацию кожи, предупреждает появление новых пигментных пятен, выравнивает тон. Комплекс растительных масел защищает кожу от УФ-излучения. Благодаря легкой текстуре крем быстро впитывается.</t>
  </si>
  <si>
    <t>Состав: вода деионизированная, масло карите, масло миндальных косточек, масло зародышей пшеницы, масло кокосовое, масло оливковое, полиглицерил-3-метилглюкозы дистеарат, экстракт из цветков маргаритки многолетней, масло макадамии, глюкоза, липопептид (фактор роста), полисахариды (экстракт) красных и бурых океанических водорослей, галактуроновая кислота, холестерин, масло жожоба, экстракт жимолости японской, сорбитол, декстран, L-фукоза, D-галактоза, глицерил каприлат, аллантоин, комплекс полиненасыщенных жирных кислот (витамин F), токоферола ацетат (витамин Е).</t>
  </si>
  <si>
    <t>Применение: необходимое количество крема нанесите на очищенную кожу лица и распределите легкими движениями по массажным линиям.</t>
  </si>
  <si>
    <t>https://disk.yandex.ru/d/U1svZMq_8hmc7Q</t>
  </si>
  <si>
    <t>https://kleona.com/lico/kremy_dlya_litsa/dnevnoj-krem-dlya-lica-seriya-anti-age/</t>
  </si>
  <si>
    <t xml:space="preserve">№ 3.1   Дневной крем для лица интенсив-актив, 50 мл </t>
  </si>
  <si>
    <t>50 мл</t>
  </si>
  <si>
    <t>137*39*39</t>
  </si>
  <si>
    <t>флакон 50 мл стекло коричневый / 18/415 дозатор кремовый черный / колпачок ТУ / коробка</t>
  </si>
  <si>
    <t>https://disk.yandex.ru/d/rD4VGX6OoMXBSg</t>
  </si>
  <si>
    <t>6*2*1</t>
  </si>
  <si>
    <t>140*162*120</t>
  </si>
  <si>
    <t>К-07/12</t>
  </si>
  <si>
    <t>291*80*146(152)</t>
  </si>
  <si>
    <t>24 шт</t>
  </si>
  <si>
    <t>№5</t>
  </si>
  <si>
    <t xml:space="preserve">№ 3.2   Ночной крем для лица , 30 мл   </t>
  </si>
  <si>
    <t xml:space="preserve">Действие: Крем содержит экстракты восточных растений – бамбука, лотоса и белой 
водяной лилии, которые активизируют физиологические процессы обновления в коже, увлажняют, питают, регенерируют, восстанавливают. Бамбук стимулирует выработку гиалуроновой 
кислоты и хондроитина, возвращает эластичность и упругость коллагеновым волокнам. Вытяжка из белой лилии блокирует ферменты, разрушающие коллаген, замедляет потерю упругости и образование морщин. Экстракт лотоса содержит природные кислоты, которые отшелушивают верх-
ний слой кожи и способствуют ее обновлению. Гинкго билоба и дигидрокверцетин повышают эластичность стенок капилляров, препятствуют развитию купероза, активируют процессы регенерации в коже. D-пантенол смягчает и успокаивает раздраженную кожу. Благодаря такой активной формуле крема к утру кожа приобретает отдохнувший, свежий, ухоженный вид. 
</t>
  </si>
  <si>
    <t xml:space="preserve">Состав: вода деионизированная, масло карите, масло миндальных косточек, масло кокосовое, масло оливковое, полиглицерил-3-метилглюкозы дистеарат, масло макадамии, глюкоза, растительные экстракты бамбука, белой водяной лилии, лотоса и гинкго билоба (Bambusa Vulgaris, Nelumbo 
Nucifera Flower, Nymphaea Alba Root, Ginkgo biloba), стеарат сахарозы, холестерин, масло жожоба, экстракт жимолости японской, глицерин растительного происхождения, глицерил каприлат, 
биосахаридная камедь, сорбитол, D-пантенол, аллантоин, комплекс полиненасыщенных жирных кислот (витамин F), токоферола ацетат (витамин Е), дигидрокверцетин, эфирное масло шалфея мускатного.
</t>
  </si>
  <si>
    <t>Применение: нанесите крем на очищенную кожу лица, шеи и зоны декольте легкими движениями по массажным линиям.</t>
  </si>
  <si>
    <t>https://disk.yandex.ru/d/SyS4IM0rPY_qPQ</t>
  </si>
  <si>
    <t>https://kleona.com/lico/kremy_dlya_litsa/nochnoj-krem-dlya-lica-seriya-anti-age/</t>
  </si>
  <si>
    <t>№ 3.2   Ночной крем для лица , 50 мл</t>
  </si>
  <si>
    <t>https://disk.yandex.ru/d/1FnvD3-nNg6GDw</t>
  </si>
  <si>
    <t xml:space="preserve">№ 3.3   Сыворотка-филлер для лица, шеи и зоны декольте, 25 мл  </t>
  </si>
  <si>
    <t>25 мл</t>
  </si>
  <si>
    <t>ЕАЭС №RU Д-RU.РА03.В.79329/21</t>
  </si>
  <si>
    <t>https://disk.yandex.ru/d/MxvtxmVNWMpaFw</t>
  </si>
  <si>
    <t>флакон 30 мл стекло коричневый / 18/415 пипетка черная / коробка</t>
  </si>
  <si>
    <t>Действие: высококонцентрированная сыворотка с эффектом филлера для поддерживающего, укрепляющего и восстанавливающего ухода за кожей лица, шеи и зоны декольте. Активизирует регенеративные процессы и обновление кожи. Заполняет морщины, стимулируя синтез коллагена, эластина и гиалуроновой кислоты, сокращает длину и глубину морщин. Уменьшает выраженность морщин на лбу, в области вокруг губ, на шее и в зоне декольте. Укрепляет контур лица, повышает упругость и эластичность кожи, обеспечивает интенсивное увлажнение. Легко наносится, быстро впитывается, оставляет ощущение гладкой и упругой кожи.</t>
  </si>
  <si>
    <t>Состав: вода деионизированная, свекольный бетаин, глицерин растительного происхождения, масло миндальных косточек, пальмитоил трипептид-1, пальмитоилтетрапептид-7 (коллаген-стимулирующие пептиды Matrixyl-3000™), глюконолактон, экстракт жимолости японской, масло семян граната, глицерилкаприлат, масло бабассу, глицерилолеат, цетеариловый спирт, цетеарилглюкозид, экстракт листьев каланхоэ перистого (Kalanchoe pinnataextract), экстракт алоэ вера (Aloesextract), масло жожоба, гиалуроновая кислота низкомолекулярная, бисаболол, комплекс полиненасыщенных жирных кислот (витамин F), токоферола ацетат (витамин Е).</t>
  </si>
  <si>
    <t>Применение: необходимое количество сыворотки нанести на очищенную кожу лица, шеи и зоны декольте. При необходимости нанести поверх сыворотки средство основного ухода. Для ежедневного применения.</t>
  </si>
  <si>
    <t>https://disk.yandex.ru/d/pdElRX8QYMdkBA</t>
  </si>
  <si>
    <t>https://kleona.com/spa/seriya-anti-age/syvorotka-filler-s-matriksilom-3-4/</t>
  </si>
  <si>
    <r>
      <t xml:space="preserve">№ 3.4   Крем омолаживающий для лица день-ночь с экстрактом икры, 30 мл    </t>
    </r>
    <r>
      <rPr>
        <b/>
        <sz val="10"/>
        <color rgb="FFFF0000"/>
        <rFont val="Arial"/>
        <family val="2"/>
        <charset val="204"/>
      </rPr>
      <t>НОВИНКА</t>
    </r>
  </si>
  <si>
    <t>https://disk.yandex.ru/i/PxgVY9ohBMlCxw</t>
  </si>
  <si>
    <t>119*34*34</t>
  </si>
  <si>
    <t>диспенсер 30 мл коричневый прозрачный с черным 119*34*34 / дозатор черный / колпачок прозрачный / колпачок ТУ</t>
  </si>
  <si>
    <t>этикетка пленка (софтач) 54*110 / коробка (мат.лам.)119*34*34</t>
  </si>
  <si>
    <t>Действие:  крем содержит экстракт икры некультивированного лосося, который оказывает комплексное воздействие на кожу. Специальная формула повышает активность клеток, помогает бороться с возрастными изменениями. Результаты видны с первого применения: оказывает мощный лифтинг-эффект, восстанавливает усталую и зрелую кожу, интенсивно увлажняет и питает, разглаживает эпидермальные морщины и улучшает микрорельеф.  Уменьшает покраснения и выраженность пигментных пятен и предупреждает образование новых, выравнивает тон. Крем обладает мощным антиоксидантным действием, кожа быстро восстанавливает молодое сияние. Помогает нивелировать стресс от UVB, HEV и инфракрасных лучей, а применение его совместно с SPF-средствами усиливает защиту кожи от раздражающего и разрушающего воздействия УФ-лучей. Крем легко наносится, быстро впитывается, оставляя сатиновый финиш.</t>
  </si>
  <si>
    <t xml:space="preserve">Состав: вода деионизированная, масло оливковое, глицерин растительного происхождения, масло рисовых отрубей, цетеариловый спирт, масло карите, масло лесного ореха, масло клещевины, цетеариловые глюкозиды (из пшеницы), глицерил стеарат, стеарат сахарозы, сквалан, каприлик/каприк триглицериды, экстракт фукуса, экстракт икры некультивированного дикого лосося, экстракт жимолости японской, глюконолактон, глюконат магния, лактат калия, рисовый воск, токоферола ацетат (витамин Е), ксантовая камедь, эфирное масло розового дерева. </t>
  </si>
  <si>
    <t xml:space="preserve">Способ применения: нанесите крем на очищенную кожу лица, шеи и зоны декольте легкими 
движениями по массажным линиям.
</t>
  </si>
  <si>
    <t>https://disk.yandex.ru/d/GnsG4VuEpQ1Zsg</t>
  </si>
  <si>
    <r>
      <rPr>
        <b/>
        <sz val="10"/>
        <color rgb="FF000000"/>
        <rFont val="Arial"/>
      </rPr>
      <t xml:space="preserve">Anti-Age  № 3.5  Крем для лица Retinol active, 30 мл  </t>
    </r>
    <r>
      <rPr>
        <b/>
        <sz val="10"/>
        <color rgb="FFFF0000"/>
        <rFont val="Arial"/>
      </rPr>
      <t>НОВИНКА</t>
    </r>
  </si>
  <si>
    <t>ЕАЭС N RU Д-RU.РА10.В.60997/23</t>
  </si>
  <si>
    <t>https://disk.yandex.ru/i/5dHpXBuHhDElhQ</t>
  </si>
  <si>
    <t xml:space="preserve">№4.1   Крем для рук, 50 мл     </t>
  </si>
  <si>
    <t>ЕАЭС №RU Д-RU.РА03.В.83037/21</t>
  </si>
  <si>
    <t>https://disk.yandex.ru/d/GUo6b_7tsfK98w</t>
  </si>
  <si>
    <t>цветочный</t>
  </si>
  <si>
    <t>117*34*34</t>
  </si>
  <si>
    <t>Действие: крем предназначен для восстановления и омолаживания зрелой кожи рук. Эффективность крема определяется наличием в его составе активных компонентов: экстракта цветков Anigozanthos («лапки кенгуру») и осветляющего олигопептида-68. Экстракт цветков Anigozanthos усиливает синтез коллагена и эластина путем активизации фибробластов, ускоряет метаболизм в клетках, стимулирует выработку собственной гиалуроновой кислоты. Экстракт содержит также большое количество феруловой кислоты, которая является мощным антиоксидантом. Осветляющий олигопептид-68 тормозит действие фермента тирозиназы и выработку меланина,  в результате чего быстро выравнивается приобретенная пигментация, нормализуется общий тон кожи. Благодаря крему № 4.1 Ваша кожа всегда будет хорошо увлажненной, упругой, эластичной, необычайно гладкой и шелковистой, а сами руки будут выглядеть молодыми и ухоженными.</t>
  </si>
  <si>
    <t>Состав: вода деионизированная, масло манго, масло оливковое, масло рисовых отрубей, глицерил стеарат цитрат, масло авокадо, глицерин растительного происхождения, батиловый спирт, глицерил стеарат, лимонная кислота, цитрат натрия, глицерил олеат, воск рисовых отрубей, олеат калия, экстракт цветков анигозантоса (Anigozanthos flavidus extract), гидрогенизированный лецитин, комплекс растительных фосфолипидов, олигопептид-68, бензоат натрия, глицерил каприлат, эфирное масло розового дерева, эфирное масло лаванды, эфирное масло розы крымской, эфирное масло бессмертника, комплекс ненасыщенных (омега-3, омега-6, омега-9) жирных кислот (витамин F), рицинолевая кислота, токоферола ацетат (витамин Е), экстракт алоэ вера, гуаровая камедь, гиалуроновая кислота низкомолекулярная, сорбат калия, аллантоин.</t>
  </si>
  <si>
    <t>рименение: равномерно нанесите крем на чистую кожу рук легкими массажными движениями до полного впитывания.</t>
  </si>
  <si>
    <t>https://disk.yandex.ru/d/XbEccp4OAYNm3w</t>
  </si>
  <si>
    <t>https://kleona.com/spa/seriya-anti-age/krem-dlya-ruk-anti-age1/</t>
  </si>
  <si>
    <t xml:space="preserve">№4.2   Крем-суфле для тела, 100 мл   </t>
  </si>
  <si>
    <t>розовый цветочный</t>
  </si>
  <si>
    <t>67*62*62</t>
  </si>
  <si>
    <t>банка 100 мл стекло коричневая / крышка черная</t>
  </si>
  <si>
    <t>Действие: этот крем мгновенно преобразит вашу кожу, обеспечит интенсивное питание и увлажнение, придаст ей плотность, упругость и ровный тон. Легкий натуральный аромат цветов добавит к косметическому эффекту необыкновенное, волшебное удовольствие. Крем имеет роскошную тающую текстуру, нежно распределяется  по коже, хорошо впитывается, придает коже приятную бархатистость без ощущения липкости и жирного блеска. Подходит для любого типа кожи.</t>
  </si>
  <si>
    <t>Состав: вода деионизированная, масло ши, масло манго, масло оливковое, масло миндальных косточек, масло авокадо, цетеариловый спирт, глюкоза, глицерин растительного происхождения, пшеничный эмульгатор, триолеат сорбитана, каприлик/каприк триглицериды, воск рисовых отрубей, экстракт сельдерея, экстракт семян льна, экстракт алоэ вера, глицерилкаприлат, диглицериды жирных кислот, экстракт японской жимолости, холестерол, гидроксиэтилцеллюлоза, эфирное масло розового дерева, эфирное масло лаванды, токоферола ацетат (витамин E), низкомолекулярная гиалуроновая кислота, полиненасыщенные жирные кислоты (витамин F), эфирное масло розы.</t>
  </si>
  <si>
    <t xml:space="preserve">Применение: равномерно нанесите крем на чистую кожу легкими массажными движениями до полного впитывания. Используйте по мере необходимости.
</t>
  </si>
  <si>
    <t>https://disk.yandex.ru/d/cBV6IKoNlQHoQw</t>
  </si>
  <si>
    <t>https://kleona.com/spa/seriya-anti-age/krem-dlya-tela-anti-age1/</t>
  </si>
  <si>
    <t>Серия "БЕЛЫЙ РИС"  (для чувствительной кожи, без запаха)</t>
  </si>
  <si>
    <t>4627186341275</t>
  </si>
  <si>
    <r>
      <t xml:space="preserve">Пенка для умывания "Белый рис" для лица и зоны вокруг глаз, </t>
    </r>
    <r>
      <rPr>
        <b/>
        <sz val="12"/>
        <color rgb="FFFF0000"/>
        <rFont val="Arial"/>
        <family val="2"/>
        <charset val="204"/>
      </rPr>
      <t>с массажной щеткой</t>
    </r>
    <r>
      <rPr>
        <b/>
        <sz val="10"/>
        <rFont val="Arial"/>
        <family val="2"/>
        <charset val="204"/>
      </rPr>
      <t xml:space="preserve">, 150 мл </t>
    </r>
    <r>
      <rPr>
        <b/>
        <sz val="10"/>
        <color indexed="10"/>
        <rFont val="Arial"/>
        <family val="2"/>
        <charset val="204"/>
      </rPr>
      <t xml:space="preserve">  </t>
    </r>
  </si>
  <si>
    <t xml:space="preserve">ЕАЭС N RU Д-RU.НА38.В.06434/20 </t>
  </si>
  <si>
    <t>https://disk.yandex.ru/d/nVN4yXQGSx6_CA</t>
  </si>
  <si>
    <t>прозрачный</t>
  </si>
  <si>
    <t>210*48*48</t>
  </si>
  <si>
    <t>флакон 150 мл ПЭТ белый / пенообразовтель натуральный с щеточкой / защитный колпачок / ТУ пленка</t>
  </si>
  <si>
    <t>Действие:  нежная  гипоаллергенная  пенка  деликатно очищает кожу лица и  зону вокруг глаз от макияжа. Не сушит, не стягивает кожу, оказывает успокаивающее и смягчающее действие. Придает ощущение  свежести  и  естественной  чистоты. Подходит  для  всех  типов  кожи,  в  том  числе  для людей с чувствительной и склонной к аллергическим реакциям кожей, куперозу, а также для беременных женщин и кормящих мам.</t>
  </si>
  <si>
    <t>Состав: вода деионизированная, экстракт лотоса, экстракт  кувшинки  белой,  экстракт  огурца, гель алоэ вера, лаурилсульфоацетат натрия, децилглюкозид,  D-пантенол,  полиглицерил-2-диполигидроксистеарат, глицерин растительный, лимонная кислота, экстракт жимолости японской, гиалуроновая  кислота  низкомолекулярная,  кококаприлат, экстракт окопника (содержит аллантоин), экстракт ромашки (содержит бисаболол).</t>
  </si>
  <si>
    <t xml:space="preserve">Применение:  нажмите  на  помпу  до  появления 
обильной пены, силиконовой щеточкой нанесите 
пенку на влажную кожу и слегка помассируйте ее, 
затем тщательно смойте теплой водой. Для области вокруг глаз возьмите немного пены и используйте  привычным  для  вас  способом.  В  случае необходимости  повторите  процедуру.  После 
смывания  пенки  протрите  кожу  гидролатом  или тоником и нанесите ухаживающее средство. </t>
  </si>
  <si>
    <t>https://disk.yandex.ru/d/rAlsN22HtbcjyQ</t>
  </si>
  <si>
    <t>https://kleona.com/lico/dlya-umyvaniya-i-udaleniya-makiyazha/penka-dlya-umyvaniya-belyj-ris-s-massazhnoj-shetochkoj/</t>
  </si>
  <si>
    <t>4627186340124</t>
  </si>
  <si>
    <r>
      <t xml:space="preserve">Пенка для умывания "Белый рис" для лица и зоны вокруг глаз, 150 мл </t>
    </r>
    <r>
      <rPr>
        <b/>
        <sz val="10"/>
        <color indexed="10"/>
        <rFont val="Arial"/>
        <family val="2"/>
        <charset val="204"/>
      </rPr>
      <t xml:space="preserve"> </t>
    </r>
  </si>
  <si>
    <t>168*48*48</t>
  </si>
  <si>
    <t>флакон 150 мл ПЭТ белый / пенообразовтель натуральный / защитный колпачок прозрачный / ТУ пленка</t>
  </si>
  <si>
    <t xml:space="preserve">Применение: для очищения лица и зоны вокруг глаз  достаточно  двух  кликов.  Нанесите  пенку  на влажную кожу и слегка помассируйте по массажным  линиям,  затем  тщательно  смойте  теплой 
водой. В случае необходимости повторите процедуру. После смывания пенки протрите кожу гидролатом или тоником и нанесите ухаживающее средство. При соблюдении техники умывания возможно применение для наращенных ресниц.
</t>
  </si>
  <si>
    <t>https://disk.yandex.ru/d/eAe14Czq3CUtiA</t>
  </si>
  <si>
    <t>https://kleona.com/spa/_4/penka-dlya-umyvaniya-belyj-ris2/</t>
  </si>
  <si>
    <t>4627101828799</t>
  </si>
  <si>
    <t xml:space="preserve">Гель для душа "Белый рис", 200 мл  </t>
  </si>
  <si>
    <t>https://disk.yandex.ru/d/2NeMvCKJYDGbQA</t>
  </si>
  <si>
    <t>флакон 200 мл ПЭТ коричневый Ц/ 24/410 диск-топ белый / колпачок ТУ прозрачный</t>
  </si>
  <si>
    <t xml:space="preserve">Действие: разработан для людей с чувствительной  кожей,  с  повышенной  чувствительностью  к  запахам  (к  ароматическим  добавкам),  склонных  к  аллергическим  реакциям, для  беременных  женщин  и  кормящих  мам. Деликатно очищает кожу от загрязнений, не вызывает сухости и раздражения. Увлажняет кожу, успокаивает, смягчает ее.  Не оставляет ощущения скользкой пленки после смывания. Подходит для частого применения. 
вас способом. </t>
  </si>
  <si>
    <t xml:space="preserve">Состав:  вода  деионизированная,  мягкая моющая  основа*,  глицерилолеат,  лактат калия, глицерин растительного происхождения,  свекольный  бетаин,  D-пантенол,  лецитин, экстракт шишек хмеля, экстракт тысячелистника,  экстракт  мелиссы,  экстракт  жимолости  японской,  глицерил  каприлат,  лимонная кислота, масло оливковое.
* включает в себя ПАВы на основе кокосового масла: кокосульфат натрия, кокоглюкозид натрия и кокоилглутамат натрия, а также лаурилглюкозид  натрия  и  децилглюкозид натрия.
</t>
  </si>
  <si>
    <t>Применение:  используйте  привычным  для вас способом.</t>
  </si>
  <si>
    <t>https://disk.yandex.ru/d/sPYsd0rWhHQYQw</t>
  </si>
  <si>
    <t>https://kleona.com/dlya-dusha-i-bani/geli-dlya-dusha/gel_dlya_dusha_belyj_ris/</t>
  </si>
  <si>
    <t>4627101828164</t>
  </si>
  <si>
    <t xml:space="preserve">Двухфазная эмульсия для снятия макияжа, 150 мл   </t>
  </si>
  <si>
    <t>ТС N RU Д-RU.НА88.В.18018/19</t>
  </si>
  <si>
    <t>https://disk.yandex.ru/d/tlD_AsSUdFnICw</t>
  </si>
  <si>
    <t>белый ( при взбалтывании</t>
  </si>
  <si>
    <t>135*52*34</t>
  </si>
  <si>
    <t>флакон 150 мл ПЭТ коричневый П / 20/410 флип-топ белый / колпачок ТУ прозрачный</t>
  </si>
  <si>
    <t xml:space="preserve">Действие: легкая двухфазная эмульсия превосходно удаляет макияж, увлажняет и смягчает кожу. Масла персика, миндальных косточек и жожоба деликатно очищают нежную и чувствительную кожу, не пересушивая ее. Экстракт зеленого чая и D-пантенол снимают раздражение и воспаление. Эмульсия не оставляет маслянистой пленки и обеспечивает чувство комфорта. Не содержит эфирных масел, благодаря чему риск раздражения и аллергических реакций минимизирован.
</t>
  </si>
  <si>
    <t xml:space="preserve">Состав: вода деионизированная, гидролат ромашки, масло персиковых косточек, масло миндальных косточек, масло жожоба, цетеариловый спирт, экстракт тысячелистника,  экстракт  шалфея,  экстракт  зеленого  чая, кокоилсаркозинат натрия, стеарат сахарозы, D-пантенол, бензиловый  спирт,  токоферола  ацетат  (витамин  Е), витамин F, аллантоин. Не содержит отдушек.
</t>
  </si>
  <si>
    <t xml:space="preserve">Способ применения: 
- перед использованием интенсивно встряхните флакон для соединения двух фаз
- необходимое количество эмульсии нанесите на ватный диск 
- очистите кожу лица и область вокруг глаз диском
- при необходимости смените диск и повторите процедуру
- остатки эмульсии удалите водой или гидролатом
С осторожностью использовать при нарощенных ресницах, так как эмульсия может спровоцировать открепление волосков.
</t>
  </si>
  <si>
    <t>https://disk.yandex.ru/d/3Slx1CfKc-Cb4w</t>
  </si>
  <si>
    <t>https://kleona.com/lico/dlya-umyvaniya-i-udaleniya-makiyazha/dvuhfaznaya-emul-siya-dlya-snyatiya-makiyazha-seriya-belyj-ris/</t>
  </si>
  <si>
    <t>4627186341060</t>
  </si>
  <si>
    <t xml:space="preserve">Двухфазная эмульсия для снятия макияжа, 100 мл     </t>
  </si>
  <si>
    <t>92*48*48</t>
  </si>
  <si>
    <t>флакон 100 мл ПЭТ прозрачный Ц / 24/410 флип топ белый / колпачок термоцсадочный</t>
  </si>
  <si>
    <t xml:space="preserve">Действие: легкая двухфазная эмульсия превосходно удаляет макияж, увлажняет и смягчает кожу. Масла персика, миндальных косточек и жожоба деликатно очищают нежную и чувствительную кожу, не пересушивая ее. Экстракт зеленого чая и D-пантенол снимают раздражение и воспаление. Эмульсия не оставляет маслянистой пленки и обеспечивает чувство комфорта.  
Эмульсия не содержит эфирных масел, благодаря чему риск раздражения и аллергических реакций минимизирован.
</t>
  </si>
  <si>
    <t>Состав: вода деионизированная, гидролат ромашки, масло персиковых косточек, масло миндальных косточек, масло жожоба, цетеариловый спирт, экстракт тысячелистника, экстракт шалфея, экстракт зеленого чая, кокоилсаркозинат натрия, стеарат сахарозы, D-пантенол, бензиловый спирт, токоферола ацетат (витамин Е), витамин F, аллантоин. Не содержит отдушек.</t>
  </si>
  <si>
    <t>Применение: перед использованием интенсивно встряхните флакон для соединения двух фаз. Необходимое количество эмульсии нанесите на ватный диск и очистите кожу лица и область вокруг глаз. Остатки эмульсии удалите водой или гидролатом. С осторожностью используйте при наращенных ресницах, так как эмульсия может спровоцировать открепление волосков.</t>
  </si>
  <si>
    <t>https://disk.yandex.ru/d/2iQBgmiCAxVTXw</t>
  </si>
  <si>
    <t xml:space="preserve">Крем для кожи вокруг глаз "Белый рис", 15 мл   </t>
  </si>
  <si>
    <t>10 мл</t>
  </si>
  <si>
    <t>ЕАЭС №RU Д-RU.РА04.В.18295/22</t>
  </si>
  <si>
    <t>https://disk.yandex.ru/d/4yR8R0uYh-CW5w</t>
  </si>
  <si>
    <t>диспенсер ПП белый / коробка картонная</t>
  </si>
  <si>
    <t>https://disk.yandex.ru/d/SLJ1Y10wGTa92A</t>
  </si>
  <si>
    <t>https://kleona.com/lico/dlya-vek-i-zony-vokrug-glaz/krem-dlya-kozhi-vokrug-glaz-belyj-ris-dlya-lyudej-s-chuvstvitel-noj-kozhej-i-s-povyshennoj-chuvstvitel-nost-yu-k-zapaham-produkt/</t>
  </si>
  <si>
    <t>100*129*195</t>
  </si>
  <si>
    <t>п-03/12</t>
  </si>
  <si>
    <t xml:space="preserve">Крем для лица "Белый рис" ДНЕВНОЙ, 30 мл   </t>
  </si>
  <si>
    <t>флакон 30 мл стекло коричневый / 18/415 дозатор кремовый белый / колпачок ТУ белый</t>
  </si>
  <si>
    <t>• для чувствительной кожи • без запаха •
Интенсивно увлажняет, смягчает кожу, повышает ее гладкость  и  эластичность.  Улучшает  цвет  кожи,  придает  ей свежий  и  ухоженный  вид. Экстракт  череды  и  масло календулы  в  сочетании  с 
бисабололом  успокаивают раздраженную кожу, устраняют ее шелушение, повышают устойчивость кожи к УФ-излучению  и  неблагоприятному воздействию  окружающей среды.  Крем  быстро  впитывается, не оставляя жирного блеска.  Обеспечивает  чувство  комфорта.  Является хорошей  основой  под макияж.</t>
  </si>
  <si>
    <t>Состав:    вода  деионизированная, масло рисовых отрубей,  масло  оливковое, масло ши, масло календулы, стеарат  сахарозы,  цетеариловый  спирт,  экстракт череды,  экстракт  крапивы, глицерин растительного происхождения,  бензиловый спирт, гидрогенизированный лецитин,  биосахаридная камедь,  глицерил  каприлат, токоферола ацетат (витамин Е), аллантоин,  пчелиный  воск, 
бисаболол,  рисовый  воск, альгинат  натрия,  витамин  F (комплекс  полиненасыщенных жирных кислот омега-3, омега-6 и омега-9). Не содержит эфирных масел и ароматических отдушек.</t>
  </si>
  <si>
    <t>Применение: нанести легкими  массирующими  движениями на очищенную кожу лица до полного впитывания.</t>
  </si>
  <si>
    <t>https://disk.yandex.ru/d/jswlEwkf0MXZRQ</t>
  </si>
  <si>
    <t>https://kleona.com/lico/kremy_dlya_litsa/krem-dlya-lica-dnevnoj-belyj-ris-dlya-lyudej-s-chuvstvitel-noj-kozhej-i-s-povyshennoj-chuvstvitel-nost-yu-k-zapaham-produkt-bez/</t>
  </si>
  <si>
    <t>Крем для лица "Белый рис" ДНЕВНОЙ, 50 мл</t>
  </si>
  <si>
    <t>флакон 50 мл стекло коричневый / 18/415 дозатор кремовый белый / колпачок ТУ белый / коробка</t>
  </si>
  <si>
    <t>https://disk.yandex.ru/d/P4U7L-Pjleo3mw</t>
  </si>
  <si>
    <t xml:space="preserve">Крем для лица и зоны декольте "Белый рис" НОЧНОЙ, 30 мл </t>
  </si>
  <si>
    <t xml:space="preserve">
• для чувствительной кожи • без запаха •
Обеспечивает  полноценный  уход  за  кожей:  увлажняет,  питает,  восстанавливает ее упругость и эластичность. Повышает тонус кожи, делает ее подтянутой. Улучшает цвет  кожи, придает ей свежий и ухоженный вид. Мягко успокаивает раздраженную кожу, уменьшает ощущение дискомфорта. Экстракты зеленого чая и белой магнолии оказывают  интенсивное  антиоксидантное  действие,  сохраняют  молодость  кожи, защищают ее от преждевременного старения. Крем быстро впитывается. Не оставляет жирного блеска на лице. Обладает пролонгированным действием. </t>
  </si>
  <si>
    <t xml:space="preserve">Состав: вода деионизированная, масло рисовых отрубей, масло оливковое, масло карите, масло  кокосовое,  масло  авокадо,  стеарилглюкозид,  цетеариловый  спирт,  глицерин растительного происхождения, сорбитана моностеарат, экстракт белой магнолии,  экстракт  зеленого  чая,  лактат  калия,  бензиловый  спирт, глицерилкаприлат,  гуаровая  камедь,  рицинолевая  кислота,  комплекс ненасыщенных  (омега-6,  омега-9)  жирных  кислот,  растительные фосфолипиды,  аллантоин,  холестерол,  токоферола  ацетат  (витамин  Е), ксантановая камедь, гиалуроновая кислота.
</t>
  </si>
  <si>
    <t>Применение: нанести легкими массирующими движениями на очищенную кожу лица и зону декольте до полного впитывания.</t>
  </si>
  <si>
    <t>https://disk.yandex.ru/d/HHTAeUZAKGxJpQ</t>
  </si>
  <si>
    <t>https://kleona.com/lico/kremy_dlya_litsa/krem-nochnoj-dlya-lica-i-zony-dekol-te-belyj-ris-dlya-lyudej-s-chuvstvitel-noj-kozhej-i-s-povyshennoj-chuvstvitel-nost-yu-k-zapa/</t>
  </si>
  <si>
    <t>Крем для лица и зоны декольте "Белый рис" НОЧНОЙ, 50 мл</t>
  </si>
  <si>
    <t>https://disk.yandex.ru/d/RyjTMoH4YjvwYA</t>
  </si>
  <si>
    <t>Крем для рук "Белый рис", 100 мл</t>
  </si>
  <si>
    <t>140*45*45</t>
  </si>
  <si>
    <t>флакон 100 мл стекло коричневый / 18/415 дозатор кремовый белый / колпачок ТУ белый</t>
  </si>
  <si>
    <t xml:space="preserve">• для чувствительной кожи • без запаха •
Интенсивно  увлажняет  кожу,  быстро  устраняет  её  сухость  и  шелушение.  Снимает раздражение  и  чувство  дискомфорта.  Возвращает  коже  мягкость  и  эластичность. Эффективно восстанавливает липидный слой кожи и её барьерные функции. Повышает устойчивость кожи к негативному действию природных факторов и моющих средств. Ускоряет регенерацию кожи и заживление микротравм. Питает и смягчает кутикулы. При регулярном применении возвращает рукам здоровый и ухоженный вид. </t>
  </si>
  <si>
    <t xml:space="preserve">Состав: вода деионизированная, масло пальмовое, масло оливковое, масло рисовых отрубей,  масло  авокадо,  экстракт  череды,  стеарилглюкозид,  цетеариловый  спирт, глицерин растительного происхождения, лактат калия, стеарат сахарозы, D-пантенол, бензиловый спирт, масло жожоба, пчелиный воск, воск рисовых отрубей, сквалан, растительные фосфолипиды, комплекс ненасыщенных (омега-6, омега-9)  жирных  кислот,  рицинолевая  кислота,  холестерол,  рисовый крахмал, токоферола ацетат (витамин Е), ретинола пальмитат (витамин А), гуаровая камедь, аллантоин, ксантановая камедь.
</t>
  </si>
  <si>
    <t>Применение: используйте  крем  по  мере  необходимости.  Наносите  на чистую кожу рук.</t>
  </si>
  <si>
    <t>https://disk.yandex.ru/d/T1yfDRGrz9Arww</t>
  </si>
  <si>
    <t>6*4*1</t>
  </si>
  <si>
    <t>291*195*146(152)</t>
  </si>
  <si>
    <t xml:space="preserve">Крем для рук "Белый рис", 30 мл   </t>
  </si>
  <si>
    <t>105*33*33</t>
  </si>
  <si>
    <t>https://disk.yandex.ru/d/CBclph32YsUvHA</t>
  </si>
  <si>
    <t>Молочко для снятия макияжа "Белый рис", 150 мл</t>
  </si>
  <si>
    <t>165*53*34</t>
  </si>
  <si>
    <t xml:space="preserve">флакон 150 мл ПЭТ коричневый Ц / 20/410 помпа-дозирующая белая </t>
  </si>
  <si>
    <t>Действие: разработано для людей с повышенной  чувствительностью  к  запахам;  с чувствительной кожей; склонных к аллергическим реакциям; для беременных женщин и кормящих мам. 
Эффективно  очищает,  деликатно  удаляет макияж и загрязнения с поверхности кожи. Смягчает  кожу,  возвращает  ей  естественный уровень увлажненности. Не раздражает, не стягивает кожу, не вызывает жжения при попадании в глаза, не оставляет после себя  масляной  пленки,  не  закупоривает поры. Не предназначено для удаления силиконосодержащих средств (баз, тональных основ, 
ВВ и СС кремов).</t>
  </si>
  <si>
    <t>Состав:  вода  деионизированная,  масло рисовых отрубей, масло оливковое, стеарат сахарозы,  эмульсионный  воск,  экстракт риса, экстракт жимолости японской, сорбитан каприлат, α-окоферола ацетат (витамин Е),  свекольный  бетаин,  молочная  кислота, лактат натрия, ксантановая камедь.</t>
  </si>
  <si>
    <t>Применение: демакияж проводится с помощью ватного диска по массажным линиям, не растягивая кожу. Остатки молочка необходимо смыть теплой водой.</t>
  </si>
  <si>
    <t>https://disk.yandex.ru/d/KgZ0xptBMMyFew</t>
  </si>
  <si>
    <t>https://kleona.com/lico/dlya-umyvaniya-i-udaleniya-makiyazha/molochko-dlya-snyatiya-makiyazha-seriya-belyj-ris/</t>
  </si>
  <si>
    <t>Молочко для тела "Белый рис", 200 мл</t>
  </si>
  <si>
    <t xml:space="preserve">ЕАЭС N RU Д-RU.РА08.В.95659/22 </t>
  </si>
  <si>
    <t>09.12..22</t>
  </si>
  <si>
    <t>https://disk.yandex.ru/d/smiLcnFxJmenjQ</t>
  </si>
  <si>
    <t>170*63*36</t>
  </si>
  <si>
    <t>флакон 200 мл ПЭТ коричневый Ц / 24/410 помпа-дозирующая белая / ТУ пленка</t>
  </si>
  <si>
    <t xml:space="preserve">Имеет естественный запах растительныхмасел и экстрактов, входящих в состав
Действие: разработано для людей с повышенной чувствительностью к запахам; с чувствительной кожей; склонных к аллергическим реакциям; для беременных женщин и кормящих мам. Хорошо  питает  и  увлажняет  кожу,  быстро устраняет  сухость  и  шелушение.  Придает коже  мягкость  и  эластичность.  Дарит  ощущение  комфорта.  Успокаивает  раздраженную кожу, устраняет зуд и покраснения, связанные с сухостью кожи. Имеет легкую текстуру. Быстро впитывается. 
</t>
  </si>
  <si>
    <t>Состав: вода  деионизированная,  масло рисовых  отрубей,  масло  оливковое,  масло карите,  масло  зародышей  кукурузы,  экстракт зеленого  чая,  полиглицерил-3  стеарат,  глицерин  растительного  происхождения,  натуральный увлажняющий полисахаридный комплекс, эмульсионный воск, полиаминопропил бигуанид,  α-токоферола  ацетат  (витамин  Е), аллантоин, бисаболол, молочная кислота.</t>
  </si>
  <si>
    <t xml:space="preserve">Применение: легкими массажными движениями  нанести  небольшое  количество молочка на чистую кожу тела. </t>
  </si>
  <si>
    <t>https://disk.yandex.ru/d/ivdXXx6S7LH4pg</t>
  </si>
  <si>
    <t>https://kleona.com/telo/molochko-dlya-tela/molochko-dlya-tela-belyj-ris-dlya-lyudej-s-chuvstvitel-noj-kozhej-i-s-povyshennoj-chuvstvitel-nost-yu-k-zapaham-produkt-bez-efir/</t>
  </si>
  <si>
    <t>Мыло натуральное "Белый рис", 130 г</t>
  </si>
  <si>
    <t>130г</t>
  </si>
  <si>
    <t>пленка ПП / коробка картонна</t>
  </si>
  <si>
    <t>Мягкое мыло на основе растительных масел хорошо подойдет для чувствительной кожи, требующей особого ухода. Еле уловимый аромат натурального мыла понравится тем, кто не любит сильные запахи. Густая нежная пенка мягко очистит кожу, сохранит её естественную увлажненность. Молоко и рисовый крахмал придадут коже свежесть и приятную бархатистость. Подходит для кожи лица и тела. Деликатный уход на каждый день.</t>
  </si>
  <si>
    <t>Состав: омыленная смесь оливкового, кокосового, рисового, касторового, пальмоядрового масел и лецитина, молоко, рисовый крахмал.</t>
  </si>
  <si>
    <t>Вспеньте мыло с водой. Нанесите пенку на кожу круговыми массирующими движениями. Смойте тёплой водой.</t>
  </si>
  <si>
    <t>https://disk.yandex.ru/d/GX-nOwCiFK2Bxg</t>
  </si>
  <si>
    <t>https://kleona.com/dlya-dusha-i-bani/myla-bannye-vysokopennye/mylo-bannoe-belyj-ris-dlya-lyudej-s-chuvstvitel-noj-kozhej-i-s-povyshennoj-chuvstvitel-nost-yu-k-zapaham-produkt-bez-efirnyh-mas/</t>
  </si>
  <si>
    <t xml:space="preserve">Сыворотка "Белый рис" для лица и области вокруг глаз, 25 мл  </t>
  </si>
  <si>
    <t>https://disk.yandex.ru/d/2qVNfheFtUxdOA</t>
  </si>
  <si>
    <t>103*33*33</t>
  </si>
  <si>
    <t>флакон 30 мл стекло коричневый / 18/415 пипетка белая / колпачок ТУ белый</t>
  </si>
  <si>
    <t xml:space="preserve">Легкая двухфазная сыворотка на основе геля гиалуроновой кислоты для ежедневного ухода за кожей лица и области вокруг глаз. Интенсивно увлажняет и питает кожу, устраняет стянутость после умывания, уменьшает шелушение и покраснение. Благодаря сбалансированной комбинации фосфолипидов, витаминов и растительных масел укрепляет липидный барьер и повышает защитные свойства кожи. Быстро впитывается, не оставляя ощущения липкости. Обеспечивает комфорт и приятные тактильные ощущения. В летнее время способна заменить крем. Для утреннего и/или вечернего ухода.
</t>
  </si>
  <si>
    <t xml:space="preserve">Состав: вода деионизированная, свекольный бетаин, глицерин растительного происхождения, масло клещевины, масло бабассу, гиалуроновая кислота низкомолекулярная, масло жожоба, экстракт алоэ вера, экстракт жимолости японской, бегениловый спирт, глицерилолеат, природные фосфолипиды жирных кислот, глицерил каприлат, бисаболол, кокоглюкозиды натрия, комплекс полиненасыщенных жирных кислот (витамин F), токоферола ацетат (витамин Е), гиалуроновая кислота высокомолекулярная, аллантоин. 
</t>
  </si>
  <si>
    <t>Применение: интенсивно встряхнуть флакон до полной однородности содержимого. Нанести небольшое количество сыворотки на сухую или увлажненную кожу. Подождать 1-2 минуты до полного впитывания. Возможно непродолжительное ощущение покалывания и покраснение кожи при гиперчувствительности к гиалуроновой кислоте. Не наносить сыворотку в два слоя.</t>
  </si>
  <si>
    <t>https://disk.yandex.ru/d/1TdJ29o771OnQw</t>
  </si>
  <si>
    <t>https://kleona.com/lico/syvorotki/syvorotka_dlya_lica_i_kozhi_vokrug_glaz_belyj_ris/</t>
  </si>
  <si>
    <t xml:space="preserve">Шампунь для волос "Белый рис", 250 мл    </t>
  </si>
  <si>
    <t>250 мл</t>
  </si>
  <si>
    <t>ЕАЭС N RU Д-RU.РА04.В.23643/22</t>
  </si>
  <si>
    <t>https://disk.yandex.ru/d/MXS4MA0--PkZow</t>
  </si>
  <si>
    <t>прозрачный желтый</t>
  </si>
  <si>
    <t>179*49*49</t>
  </si>
  <si>
    <t>флакон 250 мл ПЭТ коричневый Ц / 24/410диск-топ / колпачок ТУ прозрачный</t>
  </si>
  <si>
    <t xml:space="preserve">Действие: нежный шампунь на основе натуральных  моющих  ингредиентов  без  отдушек и эфирных масел. Для людей с повышенной  чувствительностью  к  запахам;  с чувствительной  кожей  головы,  склонной  к раздражению,  перхоти  и  аллергическим реакциям;  для  беременных  женщин  и кормящих мам. Обеспечивает  чистоту  и  мягкость  волос, объем,  блеск  и  простоту  укладки.  Способствует  сохранению  цвета  окрашенных волос. Пригоден для частого использования.
</t>
  </si>
  <si>
    <t xml:space="preserve">Состав:  вода  деионизированная,  мягкая «зеленая»  моющая  основа*,  свекольный бетаин, глицерин растительного происхождения, D-пантенол, экстракт риса, экстракт алоэ вера, глицерилолеат, сорбитол, сорбитанкаприлат, экстракт жимолости японской, лимонная  кислота,  хлорид  натрия,  масло жожоба, аллантоин.
* включает в себя ПАВы на основе кокосового  масла:  лаурилглюкозид  натрия,  кокоамфоацетат натрия, кокоилглутамат натрия и кокосульфат натрия.
</t>
  </si>
  <si>
    <t>Применение: нанесите на влажные волосы, взбейте в пену. Распределите пену по всей длине волос. Тщательно смойте. При необходимости повторите.</t>
  </si>
  <si>
    <t>https://disk.yandex.ru/d/6QHHdfoQuUh53g</t>
  </si>
  <si>
    <t>https://kleona.com/volosy/zhidkie-shampuni/shampun-belyj-ris/</t>
  </si>
  <si>
    <t>Серия "ОБЛЕПИХА" (биоактивная)</t>
  </si>
  <si>
    <t>4627186344986</t>
  </si>
  <si>
    <r>
      <t xml:space="preserve">VitaМАСКА для лица с маслом алтайской облепихи, 50 мл   </t>
    </r>
    <r>
      <rPr>
        <b/>
        <sz val="11"/>
        <color rgb="FFFF0000"/>
        <rFont val="Arial"/>
        <family val="2"/>
        <charset val="204"/>
      </rPr>
      <t>НОВИНКА!!!</t>
    </r>
  </si>
  <si>
    <t>ЕАЭС N RU Д-RU.РА10.В.03769/23</t>
  </si>
  <si>
    <t>https://disk.yandex.ru/i/cBNgW1OlxAYCrQ</t>
  </si>
  <si>
    <t>4627101820267</t>
  </si>
  <si>
    <t>Бальзам для губ "Облепиха" в коробочке, 10 мл</t>
  </si>
  <si>
    <t>ЕАЭС №RU Д-RU.НА38.В.02912/20</t>
  </si>
  <si>
    <t>https://disk.yandex.ru/d/1LZ4TjMUnwKwQg</t>
  </si>
  <si>
    <t>62*65*19</t>
  </si>
  <si>
    <t>банка ПС прозрачная, коробка</t>
  </si>
  <si>
    <t xml:space="preserve">Действие:  лечебно-профилактический бальзам  для  ежедневного  ухода  за кожей  губ.  Прекрасно  увлажняет  кожу, защищает ее от обветривания и солнечной  инсоляции  (степень  защиты  SРF  5). Быстро  успокаивает  раздраженную кожу,  устраняет  сухость  и  шелушение губ,  заживляет  трещинки,  восстанавливает  эластичность  кожи.  Поддерживает упругость губ, возвращает им молодость. Бальзам можно использовать в качестве основы  под  губную  помаду.  Подойдет для ухода за кожей губ у детей.
</t>
  </si>
  <si>
    <t xml:space="preserve">Состав:  масло  кокосовое,  пчелиный воск,  масло  какао,  масло  карите,  масло авокадо,  масло  кукурузное,  масло календулы,  сквалан,  масло  из  ягод облепихи  холодного  отжима,  масло 
семян клюквы, ликопин, комплекс незаменимых  полиненасыщенных  жирных кислот  (витамин  F),  токоферола  ацетат (витамин Е), эфирное масло розы.
</t>
  </si>
  <si>
    <t xml:space="preserve">Способ применения: наносите бальзам на чистую кожу губ утром и вечером или по мере необходимости.
</t>
  </si>
  <si>
    <t>https://disk.yandex.ru/d/O0yZ34ia1-vgJw</t>
  </si>
  <si>
    <t>https://kleona.com/lico/dlya-gub/bal-zam-dlya-gub-oblepiha-pitanie-vosstanovlenie/</t>
  </si>
  <si>
    <t>4627101829550</t>
  </si>
  <si>
    <t xml:space="preserve">Тоник "Облепиха" биоактивный, 150 мл   </t>
  </si>
  <si>
    <t>ЕАЭС №RU Д-RU.НВ10.В.02566/20</t>
  </si>
  <si>
    <t>https://disk.yandex.ru/d/NL1Jns23inynMw</t>
  </si>
  <si>
    <t>146*43*43</t>
  </si>
  <si>
    <t>флакон 150 мл ПЭТ коричневыйй Ц / 24/410 флип-топ черный / колпачок ТУ прозрачный</t>
  </si>
  <si>
    <t xml:space="preserve">Действие: биоактивный тоник с гиалуроновой кислотой интенсивно увлажняет кожу, тонизирует и наполняет жизненной энергией,  освежает  цвет  лица.  Восстанавливает упругость  и  гладкость кожи.  Биокомплекс на основе масла облепихи и экстракта крапивы  насыщает  витаминами  и  микроэлементами,  улучшает  микроциркуляцию, обмен веществ в коже, укрепляет ее защитные свойства. Дигидрокверцетин оказывает  активное  антиоксидантное  действие, применяется для профилактики образования  сосудистых  звездочек  (купероза). Тоник мягко очищает кожу, подготавливает ее  к  нанесению  ухаживающих  средств  и усиливает их эффективность.
</t>
  </si>
  <si>
    <t>Состав:  вода  дистиллированная,  экстракт крапивы, сорбитол, глицерин растительного  происхождения,  моноолеат  глицерина, кокоглюкозид, масло алтайской облепихи, масло оливковое, эфирное масло апельсина, натрия аскорбилфосфат, гель гиалуроновой  кислоты,  гель  алоэ  вера,  экстракт японской  жимолости,  линалоол,  дигидрокверцетин, токоферола ацетат (витамин Е), комплекс  незаменимых  полиненасыщенных  жирных  кислот  (витамин  F),  гуаровая камедь.</t>
  </si>
  <si>
    <t>Применение: нанесите тоник на ватный диск и протрите кожу.</t>
  </si>
  <si>
    <t>https://disk.yandex.ru/d/Q6HqnhFuOMW8tg</t>
  </si>
  <si>
    <t>https://kleona.com/spa/bioaktivnaya-seriya-oblepiha/tonik-oblepiha1/</t>
  </si>
  <si>
    <r>
      <rPr>
        <b/>
        <sz val="10"/>
        <rFont val="Arial"/>
        <family val="2"/>
        <charset val="204"/>
      </rPr>
      <t>Гель для умывания "Облепиха",  100 мл</t>
    </r>
    <r>
      <rPr>
        <b/>
        <sz val="10"/>
        <color indexed="10"/>
        <rFont val="Arial"/>
        <family val="2"/>
        <charset val="204"/>
      </rPr>
      <t xml:space="preserve"> </t>
    </r>
  </si>
  <si>
    <t>ЕАЭС №RU Д-RU.РА04.В.18362/22</t>
  </si>
  <si>
    <t>https://disk.yandex.ru/d/ye-6_5qe5uP7bA</t>
  </si>
  <si>
    <t>145*56*28</t>
  </si>
  <si>
    <t xml:space="preserve">Действие: мягко очищает, легко удаляет остатки макияжа. Не сушит, не стягивает кожу. Повышает тонус кожи, улучшает цвет лица, устраняет следы  усталости.  Оказывает  антиоксидантное 
действие. Сужает поры. Придает ощущение свежести. Нейтрализует действие жесткой и хлорированной  воды.  Подходит  для  ежедневного применения. 
</t>
  </si>
  <si>
    <t xml:space="preserve">Состав:  изотонический  физиологический  раствор,  экстракт  листьев  облепихи,  экстракт  травы зверобоя, экстракт цветков календулы, лаурилглюкозид  натрия,  кокоилглутамат  натрия,  свекольный бетаин, инулин цикория, глюкоза, бензиловый  спирт,  глицерил  каприлат,  стеарат сахарозы, аллантоин, эфирное масло лаванды, эфирное  масло  болгарской  розы,  эфирное 
масло иланг-иланг, эфирное масло герани.
</t>
  </si>
  <si>
    <t>Применение: нанесите небольшое количество геля на чистые влажные ладони и вспеньте. Распределите  пену  по  увлажненной  коже  лица легкими круговыми движениями. Смойте теплой 
водой.</t>
  </si>
  <si>
    <t>https://disk.yandex.ru/d/3FEo3CS0dPsaGQ</t>
  </si>
  <si>
    <t>https://kleona.com/lico/dlya-umyvaniya-i-udaleniya-makiyazha/nezhnyj-myagkij-gel-dlya-umyvaniya-seriya-oblepiha/</t>
  </si>
  <si>
    <t xml:space="preserve">Крем для лица "Облепиха" дневной, 30 мл  </t>
  </si>
  <si>
    <t>легкий цитрусовый</t>
  </si>
  <si>
    <t>жёлтый кремовый</t>
  </si>
  <si>
    <t xml:space="preserve">• для всех типов кожи •
Крем интенсивно увлажняет кожу, делает ее упругой, эластичной, выравнивает поверхность и тон. Защищает кожу от УФ-излучения и вредного воздействия свободных радикалов. Предупреждает пигментацию кожи, делает ее менее выраженной. Крем имеет легкую текстуру, быстро впитывается. Оказывает легкое матирующее действие. Является хорошей основой под макияж. </t>
  </si>
  <si>
    <t xml:space="preserve">Состав: вода деионизированная, стеарат сахарозы, экстракт имбиря, масло лесного ореха, сквалан, экстракт из цветков маргаритки многолетней, цетеариловый спирт, сорбит, масло авокадо, масло карите, масло календулы, глицерин, бензиловый спирт, глицерил олеат, экстракт листа облепихи, экстракт мелиссы лекарственной, масло жожоба, масло из ягод  облепихи  холодного  отжима,  глицерил  каприлат,  аллантоин, токоферола ацетат (витамин Е), ксантановая камедь.
</t>
  </si>
  <si>
    <t>Применение: нанесите крем точечно на очищенную кожу лица, легкими движениями распределите его тонким слоем.</t>
  </si>
  <si>
    <t>https://disk.yandex.ru/d/FsV55vBCgK7mMQ</t>
  </si>
  <si>
    <t>https://kleona.com/lico/kremy_dlya_litsa/dnevnoj-bioaktivnyj-krem-dlya-lica-oblepiha/</t>
  </si>
  <si>
    <t>Крем для лица "Облепиха" дневной, 50 мл</t>
  </si>
  <si>
    <t>флакон 50 мл стекло коричневый / 18/415 дозатор кремовый черный / колпачок ТУ / коробка / вкладыш</t>
  </si>
  <si>
    <t>https://disk.yandex.ru/d/j01iojUJN8skWw</t>
  </si>
  <si>
    <t xml:space="preserve">Крем для лица "Облепиха" ночной, 30 мл   </t>
  </si>
  <si>
    <t>оранжевый</t>
  </si>
  <si>
    <t xml:space="preserve">• для всех типов кожи • (кроме чувствительной)
Ночной восстанавливающий крем обладает уникальным действием благодаря сочетанию натуральной кремовой основы и высокоактивных биостимуляторов: масла из ягод алтайской облепихи холодного отжима, гидролата лофанта анисового, эфирных масели витаминов. Обеспечивает интенсивное питание и увлажнение уставшей кожи, предупреждает  преждевременное  старение.  Быстро  впитывается,  придает  коже  мягкостьи бархатистость. 
</t>
  </si>
  <si>
    <t xml:space="preserve">Состав:  вода деионизированная,  гидролат  лофанта  анисового,  масло  манго,  масло  карите,  цетеариловый спирт, глицерин, масло из ягод облепихи холодного отжима, масло авокадо, лецитин, 
инулин, ликопин, масло кокосовое, масло клещевины, молочная кислота, лактат калия, эфирное масло апельсина, бензиловый спирт, глицерил каприлат, аллантоин, эфирное масло лайма, эфирное масло лаванды, D-пантенол (провитамин В5), токоферола  ацетат  (витамин  Е),  камедь  горохового  дерева,  ксантановая камедь.
</t>
  </si>
  <si>
    <t>Применение: точечно нанесите крем на очищенную кожу лица, шеи и декольте. Распределите крем легкими круговыми движениями по массажным линиям до полного впитывания. Используйте как ночное средство.</t>
  </si>
  <si>
    <t>https://disk.yandex.ru/d/Xdk1aSSYXUCk9w</t>
  </si>
  <si>
    <t>https://kleona.com/lico/kremy_dlya_litsa/nochnoj-bioaktivnyj-krem-dlya-lica-oblepiha/</t>
  </si>
  <si>
    <t>Крем для лица "Облепиха" ночной, 50 мл</t>
  </si>
  <si>
    <t>https://disk.yandex.ru/d/qPz1b3WDU7ZA4A</t>
  </si>
  <si>
    <t>4627186340605</t>
  </si>
  <si>
    <t>Крем для кожи вокруг глаз "Облепиха", 15 мл</t>
  </si>
  <si>
    <t>ЕАЭС N RU Д-RU.ТР06.В.06416/19</t>
  </si>
  <si>
    <t>Действие:  легкий  питательный  крем.  Интенсивно увлажняет,  освежает  кожу,  снимает  признаки  усталости, создает ощущение комфорта. Стимулирует синтез коллагена и эластина. Разглаживает мелкие морщины, вызванные сухостью кожи, восстанавливает упругость кожи, укрепляет контур век. Позволяет поддерживать кожу красивой и ухоженной в любом возрасте. 
Для достижения максимального результата нанесите этот крем на кожу лица вечером и оставьте его на коже до утра.</t>
  </si>
  <si>
    <t>Состав: вода деионизированная, масло карите, биосахаридная камедь, масло кокосовое,  масло  лесного  ореха,  масло  макадамии, бетаин, глюкоза, полиглицерил-3-метилглюкозы дистеарат,  масло  ягод  алтайской  облепихи  холодного отжима,  масло  примулы  вечерней,  комплекс  природных  полиненасыщенных  жирных  кислот  (витамин  F),  глицерил олеат, комплекс молочных пептидов, масло жожоба, бензиловый спирт, токоферола ацетат (витамин  Е),  аллантоин,  лецитин,  холистерол,  глицерил каприлат.</t>
  </si>
  <si>
    <t>выдавить немного крема на подушечку пальца и мягкими движениями нанести на кожу от внутреннего края глаза к внешнему.</t>
  </si>
  <si>
    <t>https://disk.yandex.ru/d/GHh84xGyI28IoA</t>
  </si>
  <si>
    <t>https://kleona.com/lico/dlya-vek-i-zony-vokrug-glaz/legkij-pitatel-nyj-bioaktivnyj-krem-dlya-kozhi-vokrug-glaz-oblepiha/</t>
  </si>
  <si>
    <t>рэ</t>
  </si>
  <si>
    <t>облепиховый с цитрусовыми нотками</t>
  </si>
  <si>
    <t>46*64*64</t>
  </si>
  <si>
    <t>банка ПЭТ коричневая / крышка П черная / коробка / вкладыш</t>
  </si>
  <si>
    <t>Маски для лица шутливо называют «тяжелой артиллерией» в женском арсенале по уходу за своим лицом.
Поэтому и описание биоактивной маски для лица «Облепиха» будет по мужски конкретным.
Биоактивная маска для лица «Облепиха» -  это маска для быстрого восстановления кожи после воздействия на нее неблагоприятных техногенных и климатических факторов, а также для эффективной компенсации возрастных изменений.  
Маска нормализует обмен веществ в клетках кожи, ускоряет регенерацию и омоложение кожи. Моментально и надолго увлажняет кожу, устраняет сухость и шелушение. Восстанавливает эластичность кожи, разглаживает морщинки на лице, укрепляет контур лица. Улучшает цвет лица, снимает признаки усталости, наполняет кожу жизненной энергией.
То есть в полной мере удовлетворяет желание женщины получить все и сразу.
Маска универсальна. Она не имеет привязки по возрасту и полезна любой коже, требующей интенсивного питания и увлажнения в целях предотвращения её преждевременного старения.</t>
  </si>
  <si>
    <t>вода, масло Ши, рисовое масло, цетеариловый спирт, глицерин, масло из ягод облепихи холодного отжима, экстракт имбиря, масло календулы, лактат калия, молочная кислота, биосахаридная камедь, масло клещевины, ликопин, эфирное масло апельсина, абрикосовый воск, бензиловый спирт, комплекс природных полиненасыщенных жирных кислот(витамин F), глицерилкаприлат, аллантоин, эфирное масло лайма, эфирное масло лаванды, токоферола ацетапт (Витамин Е), камедь горохового дерева, ксантановая камедь.</t>
  </si>
  <si>
    <t>чистой ложечкой отберите из баночки небольшое количество маски, нанесите её на кожу и легкими массирующими движениями распределите по всей поверхности лица. Подержите 20 минут, остатки удалите влажной салфеткой. Используйте маску 1-2 раза в неделю.</t>
  </si>
  <si>
    <t>https://disk.yandex.ru/d/2JLObNvE2DdhSA</t>
  </si>
  <si>
    <t>https://kleona.com/lico/maski-dlya-lica/bioaktivnaya-maska-dlya-lica-oblepiha/</t>
  </si>
  <si>
    <t xml:space="preserve">Крем для рук "Облепиха", 100 мл               </t>
  </si>
  <si>
    <t>флакон 100 мл стекло коричневый / 18/415 дозатор кремовый черный / колпачок ТУ</t>
  </si>
  <si>
    <t xml:space="preserve">Увлажняющий и питательный крем длительного действия. Смягчает кожу, возвращает ей упругость и эластичность, устраняет раздражение и шелушение, придает рукам молодой и здоровый вид. Восстанавливает липидный барьер эпидермиса, сохраняет комфортное ощущение ухоженных рук даже после мытья их с мылом. Оказывает противовоспалительное действие. Способствует быстрому заживлению ранок на руках.
</t>
  </si>
  <si>
    <t>Состав:  вода  деионизированная,  масло  карите,  масло  рисовое,  масло  клещевины, цетеариловый спирт, глицерин растительного происхождения, масло авокадо, лецитин, инулин, масло из ягод облепихи холодного отжима, масло кокосовое, комплекс моно- и диглицеридов природных жирных кислот, лактат калия, молочная кислота, бензиловый спирт, комплекс природных олиненасыщенных жирных кислот, глицерил каприлат, D-пантенол (провитамин В5), мед пчелиный натуральный, эфирное  масло  грейпфрута,  эфирное  масло  апельсина,  токоферола ацетат  (витамин  Е),  аллантоин,  эфирное  масло  сандала,  ксантановая камедь.</t>
  </si>
  <si>
    <t>Нанесите небольшое количество крема на чистую кожу рук, помассируйте их до полного впитывания. Не забудьте о локтях.</t>
  </si>
  <si>
    <t>https://disk.yandex.ru/d/SBdXb62S7UJV5g</t>
  </si>
  <si>
    <t>https://kleona.com/telo/kremy_dlya_ruk/bioaktivnyj-dlitel-nogo-dejstviya-pitayuwe-uvlazhnyayuwij-krem-dlya-ruk-oblepiha/</t>
  </si>
  <si>
    <r>
      <rPr>
        <b/>
        <sz val="10"/>
        <rFont val="Arial"/>
        <family val="2"/>
        <charset val="204"/>
      </rPr>
      <t>МИНИ !!! Крем для рук "Облепиха", 30 мл</t>
    </r>
    <r>
      <rPr>
        <b/>
        <sz val="10"/>
        <color indexed="10"/>
        <rFont val="Arial"/>
        <family val="2"/>
        <charset val="204"/>
      </rPr>
      <t xml:space="preserve">   </t>
    </r>
  </si>
  <si>
    <t>107*Ø33</t>
  </si>
  <si>
    <t>https://disk.yandex.ru/d/V08Ua68vjFwd0Q</t>
  </si>
  <si>
    <t>107*132*99</t>
  </si>
  <si>
    <t>115*137*101</t>
  </si>
  <si>
    <t>Мыло «Облепиха», 85 г</t>
  </si>
  <si>
    <t>85 г</t>
  </si>
  <si>
    <t>88*54*26</t>
  </si>
  <si>
    <t>Мыло «Облепиха», нежась в ваших ладонях, цветом и лаской прикосновения напоминает солнышко, тепла которого так не хватает хмурым осенним утром или долгим зимним днем. Легко скользя по вашей коже, оно словно ластится к вам, навевая мысли о лете.
Изготовленное холодным способом из высококачественного оливкового масла и других натуральных компонентов, мыло «Облепиха» нежно очищает кожу, обеспечивая безопасный и деликатный уход. Значительное количество содержащегося в нем масла высокогорной алтайской облепихи придает мылу не только «солнечный» цвет, но и непревзойденный оздоровительный, омолаживающий эффект.
Регулярное применение мыла «Облепиха» гарантирует вашей коже свежесть, бархатистость, упругую эластичность и невосприимчивость к воздействию вредных факторов, которыми изобилуют современные города. Прекрасно подойдет это мыло и для интимной гигиены.
Мы уверены, что нежное, абсолютно безопасное мыло «Облепиха» по достоинству оценят и милые дамы, и девушки.</t>
  </si>
  <si>
    <t>Состав мыла: омыленная смесь оливкового масла и масла авокадо, вода, масло алтайской облепихи холодного отжима, витамин Е, эфирное масло иланг-иланг, эфирное масло лаванды.</t>
  </si>
  <si>
    <t>Способ применения: вспеньте мыло с водой. Нанесите пенку на кожу лица, шеи или тела круговыми массирующими движениями. Сполосните кожу теплой водой. Промокните полотенцем. Используйте для умывания утром и вечером.
Ограничения по применению: аллергические реакции на компоненты мыла.
Рекомендации по хранению и использованию: при интенсивном использовании, при длительном нахождении в мокром состоянии, при высокой температуре (в бане, в сауне) мыло может размякнуть и раскиснуть. Во избежание этого не используйте данное мыло в качестве семейного и банного мыла. Храните его в хорошо проветриваемой перфорированной деревянной или пластиковой мыльнице, которая позволила бы быстро просыхать мыльному кусочку.
Не держите мыло (особенно мокрое) в мыльницах, на полочках, на решетках из металлизированной пластмассы.
Избегайте попаданияе на мыло прямых солнечных лучей, которые могут привести к разрушению ценных токоферолов и к быстрому выгоранию окраски.
То же может произойти при продолжительном хранении мыла. Поэтому не покупайте мыло впрок. Чем свежее мыло, тем больше пользы вы от него получите.</t>
  </si>
  <si>
    <t>https://disk.yandex.ru/d/MXZC3BtxjPdjFA</t>
  </si>
  <si>
    <t>https://kleona.com/dlya-dusha-i-bani/myla-tualetnye/klassicheskoe-myagkoe-olivkovoe-mylo-s-oblepihovym-maslom/</t>
  </si>
  <si>
    <t xml:space="preserve">Сыворотка "Облепиха" биоактивная, 25 мл </t>
  </si>
  <si>
    <t>25  мл</t>
  </si>
  <si>
    <t>ЕАЭС N RU Д-RU.РА05.В.91300/23</t>
  </si>
  <si>
    <t>https://disk.yandex.ru/i/ltY6Ztq-g1djTg</t>
  </si>
  <si>
    <t>оранжевый (при взбалтывании)</t>
  </si>
  <si>
    <t>флакон 30 мл стекло коричневый / 18/415 пипетка черная / колпачок ТУ черный</t>
  </si>
  <si>
    <t xml:space="preserve">Многофункциональное легкое нежирное средство на основе геля гиалуроновой кислоты для ежедневного ухода за кожей лица, области вокруг глаз и зоны декольте. Тонизирует кожу, ускоряет обменные процессы, улучшает цвет лица, придает свежий отдохнувший вид. Длительно сохраняет увлажненность кожи, избавляет от шелушения, нормализует работу сальных желез. Питает кожу, делает ее нежной, упругой, бархатистой. Придает чувство  комфорта  и  приятные  тактильные  ощущения,  которые  сохраняются  и  после умывания. Легко наносится, быстро впитывается. Для вечернего ухода. В холодное время года наносите сыворотку под уходовый крем.
</t>
  </si>
  <si>
    <t xml:space="preserve">Состав:  вода  деионизированная,  масло  алтайской  облепихи,  масло  миндальных косточек,  свекольный  бетаин,  глицерин  растительного  происхождения,  масло  жожоба, фосфолипиды  яичного  желтка,  гиалуроновая  кислота,  бензиловый  спирт,  экстракт жимолости японской, глюкозиды природных жирных кислот (кокоглюкозиды), бисаболол, глицерил олеат, экстракт алоэ вера, комплекс полиненасыщенных высших жирных кислот (витамин F), сорбат калия, янтарная кислота.
</t>
  </si>
  <si>
    <t>Применение:  интенсивно  встряхнуть  флакон  до  полной  однородности содержимого.  Нанести  небольшое  количество  сыворотки  на  сухую  или увлажненную кожу. Подождать 1-2 минуты до полного впитывания. Если на  коже  осталась  липкость,  промокнуть  лицо  бумажной  салфеткой  и уменьшить  количество  наносимой  сыворотки.  Возможно  временное 
ощущение  разогрева,  покалывания  и  покраснение  кожи.  Не  наносить сыворотку в два слоя.</t>
  </si>
  <si>
    <t>https://disk.yandex.ru/d/c8EsRBP8hsNRTw</t>
  </si>
  <si>
    <t>https://kleona.com/lico/syvorotki/cyvorotka-bioaktivnaya-oblepiha/</t>
  </si>
  <si>
    <t>104*132*99</t>
  </si>
  <si>
    <t>Серия "ОВСЯНКА" (для сухой кожи)</t>
  </si>
  <si>
    <t>4627101829604</t>
  </si>
  <si>
    <r>
      <t xml:space="preserve">Тоник "Овсянка" увлажняющий, 150 мл </t>
    </r>
    <r>
      <rPr>
        <b/>
        <sz val="10"/>
        <color indexed="10"/>
        <rFont val="Arial"/>
        <family val="2"/>
        <charset val="204"/>
      </rPr>
      <t xml:space="preserve"> </t>
    </r>
  </si>
  <si>
    <t>ЕАЭС N RU Д-RU.НB10.B.02566/20</t>
  </si>
  <si>
    <t>16,06,2020</t>
  </si>
  <si>
    <t>светло-бежевый прозрачный</t>
  </si>
  <si>
    <t>флакон 150 мл ПЭТ белый Ц / 24/410 флип-топ белый / колпачок ТУ прозрачный</t>
  </si>
  <si>
    <t>Действие:  тоник  на  основе  геля  гиалуроновой кислоты  и  алоэ  вера  интенсивно  увлажняет кожу, восстанавливает ее упругость и гладкость, тонизирует и освежает цвет лица. Глюконолактон  в  комплексе  с  овсом  оказывают  активное антиоксидантное  действие,  снижают  реактивность  кожи  и  защищают  ее  от  стресса.  Тоник восстанавливает эластичность кожи, смягчает и успокаивает ее, подготавливает к последующему  нанесению  ухаживающего  косметического средства.  При  избыточном  нанесении  может вызвать  ощущение  липкости.  Рекомендуется уменьшить дозу.</t>
  </si>
  <si>
    <t>Состав: вода деионизированная, глицерин растительного  происхождения,  глюконолактон, экстракт  элеутерококка,  инулин  голубой  агавы, кокоглюкозид, коллоидный овес, хлорид натрия, масло оливковое, масло авокадо, гель гиалуроновой кислоты, гель алоэ вера, экстракт жимолости японской, эфирное масло лаванды, масло жожоба, сорбитол, лимонная кислота, комплекс незаменимых    полиненасыщенных  жирных кислот (витамин F), токоферола ацетат (витамин Е), ретинола пальмитат (витамин А).</t>
  </si>
  <si>
    <t>Применение: нанесите тоник на ватный диск и 
протрите кожу после умывания.</t>
  </si>
  <si>
    <t>https://disk.yandex.ru/d/SPBaj6k3Lohn2g</t>
  </si>
  <si>
    <t>https://kleona.com/spa/seriya-dlya-suhoj-kozhi-ovsyanka/tonik-ovsyanka1/</t>
  </si>
  <si>
    <r>
      <t>Крем-флюид "Овсянка" для кожи вокруг глаз,  15 мл</t>
    </r>
    <r>
      <rPr>
        <b/>
        <sz val="10"/>
        <color indexed="10"/>
        <rFont val="Arial"/>
        <family val="2"/>
        <charset val="204"/>
      </rPr>
      <t xml:space="preserve">  </t>
    </r>
  </si>
  <si>
    <t>ЕАЭС N RU Д-RU.РА08.В.97196/22</t>
  </si>
  <si>
    <t>интенсивно  и   глубоко  увлажняет  кожу  вокруг   глаз; 
длительно,  более  12  часов,  удерживает  влагу  на поверхности кожи, улучшает тургор;
придает мягкость и эластичность;
после  первого  применения  уменьшает  тонкие линии морщин;
после 28 дней применения обеспечивает стойкий эффект разглаживания;
предупреждает образование преждевременных морщин, вызванных сухостью кожи;
устраняет  ощущение  стянутости,  придает  чувство комфорта;
успокаивает  кожу,  снимает  раздражение  и  признаки усталости;
улучшает цвет кожи, придает ей свежий вид;
защищает от УФ лучей, SPF-5;
обладает ультратонкой текстурой, быстро впитывается, является прекрасной основой под макияж.</t>
  </si>
  <si>
    <t xml:space="preserve">Состав:  вода  деионизированная,  масло  карите,  масло миндальных ных  косточек,  каприлик/каприк  триглицериды,  масло макадамии,  стеарил  глюкозид,  глюкоза,  масло  оливковое, протеины  овса,  масло  зародышей  пшеницы,  овсяной бета-глюкан  (oat-derived  beta  glucan),  инулин  (из  голубой агавы), экстракт красных и бурых морских водорослей, масло жожоба,  холестерол,  экстракт  жимолости  японской, бензиловый  спирт,  глицерил  каприлат,  аллантоин, токоферола  ацетат  (витамин  Е),  бензоат  натрия,  сорбат калия. 
Не содержит эфирных масел, ароматических отдушек. </t>
  </si>
  <si>
    <t>Применение:  небольшое  количество  выдавить  на  кончик пальца,    легкими  похлопывающими  движениями  нанести тонким слоем на очищенную кожу век. Использовать утром и вечером.</t>
  </si>
  <si>
    <t>https://disk.yandex.ru/d/Wnaar7LoJ8uEdQ</t>
  </si>
  <si>
    <t>https://kleona.com/lico/dlya-vek-i-zony-vokrug-glaz/krem-flyuid-dlya-kozhi-vokrug-glaz-ovsyanka/</t>
  </si>
  <si>
    <r>
      <rPr>
        <b/>
        <sz val="10"/>
        <rFont val="Arial"/>
        <family val="2"/>
        <charset val="204"/>
      </rPr>
      <t>Гель для умывания "Овсянка",  100 мл</t>
    </r>
    <r>
      <rPr>
        <b/>
        <sz val="10"/>
        <color indexed="10"/>
        <rFont val="Arial"/>
        <family val="2"/>
        <charset val="204"/>
      </rPr>
      <t xml:space="preserve"> </t>
    </r>
  </si>
  <si>
    <t>153*Ø38</t>
  </si>
  <si>
    <t>флакон 100 мл ПЭТ оливковый прозрачный Ц / 24/410 дозатор кремовый белый / колпачок натуральный</t>
  </si>
  <si>
    <t>Действие: мягко очищает, легко удаляет остатки макияжа. Не сушит, не стягивает кожу. Смягчает и  успокаивает.  Придает  ощущение  свежести  и естественной  чистоты.  Нейтрализует  действие 
жесткой  и  хлорированной  воды.  Подходит  для ежедневного применения.</t>
  </si>
  <si>
    <t xml:space="preserve">Состав:  изотонический  физиологический  раствор,  овсяное  молочко  (отфильтрованное),  экстракт цветков календулы, экстракт цветков липы, лаурилглюкозид натрия, кокоилглутамат натрия, 
инулин  голубой  агавы,  глюкоза,  бензиловый спирт, глицерил каприлат, стеарат сахарозы, аллантоин,  эфирное  масло  лаванды,  эфирное масло голубой ромашки, эфирное масло нероли, эфирное масло шалфея мускатного.Натуральный  продукт:  при  длительном  неиспользовании возможно расслоение, помутнение, образование осадка или хлопьев, не меняющих свойства продукта. </t>
  </si>
  <si>
    <t xml:space="preserve">Перед применением встряхнуть.
Применение: вспеньте немного геля в ладонях, нанесите пенку на лицо и слегка помассируйте, после чего тщательно смойте теплой водой. </t>
  </si>
  <si>
    <t>https://disk.yandex.ru/d/pQD-VCPzb3Q5Dg</t>
  </si>
  <si>
    <t>https://kleona.com/lico/dlya-umyvaniya-i-udaleniya-makiyazha/myagkij-gel-dlya-umyvaniya-suhoj-kozhi-seriya-ovsyanka/</t>
  </si>
  <si>
    <t>№10</t>
  </si>
  <si>
    <t xml:space="preserve">Крем для лица "Овсянка", день /увлажнение и защита/, 30 мл </t>
  </si>
  <si>
    <t>флакон 30 мл стекло прозрачный / 18/415 дозатор кремовый белый / колпачок ТУ белый</t>
  </si>
  <si>
    <t>Увлажняющий  крем  для  ежедневного ухода за сухой и нормальной кожей лица. Протеины овса  и  полисахаридный  комплекс  обеспечивают  длительное  увлажнение  кожи.  Экстракты бессмертника, липы и масло календулы  успокоят  чувствительную  и  раздраженную  кожу, придадут лицу свежий и ухоженный  вид,  защитят  кожу  от  УФ излучения  и  неблагоприятного 
воздействия  окружающей среды.  Крем  имеет  легкую текстуру,  быстро  впитывается. Является  прекрасной  основой под макияж.</t>
  </si>
  <si>
    <t>Состав:  вода  деионизированная,  масло  рисовое,  стеарат сахарозы,  экстракт  цветков липы,  экстракт  бессмертника, масло календулы, масло кокосовое, цетеариловый спирт, натуральный  полисахаридный  влагоудерживающий  комплекс, масло  карите,  рисовый  воск, протеины овса, масло клещевины, бензиловый спирт, глицерил каприлат,  α-токоферола  ацетат (витамин Е), аллантоин, молочная  кислота,  эфирное  масло лаванды  (Lavandula  officinalis Chaix), лактат натрия. Не  содержит  синтетических отдушек и красителей.</t>
  </si>
  <si>
    <t>Применение:  легкими  массажными  движениями  нанести небольшое количество крема на чистую кожу лица.</t>
  </si>
  <si>
    <t>https://disk.yandex.ru/d/BRaKmxtMLvhwTg</t>
  </si>
  <si>
    <t>https://kleona.com/lico/kremy_dlya_litsa/krem-dlya-lica-ovsyanka-dnevnoj-spf-5/</t>
  </si>
  <si>
    <t xml:space="preserve">Крем для лица "Овсянка", день /увлажнение и защита/, 50 мл </t>
  </si>
  <si>
    <t>флакон 50 мл стекло коричневый / 18/415 дозатор кремовый белый / колпачок ТУ  белый/ коробка</t>
  </si>
  <si>
    <t>https://disk.yandex.ru/d/1ZNH5IHcx0nj0g</t>
  </si>
  <si>
    <t>120*140*105</t>
  </si>
  <si>
    <t>125*145*108</t>
  </si>
  <si>
    <t xml:space="preserve">Крем для лица "Овсянка", ночь, /питание и восстан./, 30 мл </t>
  </si>
  <si>
    <t>Питательный  крем  для  ежедневного ухода за сухой и нормальной  кожей  лица.  Масляные  экстракты  боярышника, рябины  и  масло  алтайской облепихи  питают  кожу,  нормализуют обмен веществ, ускоряют  регенерацию  клеток  кожи, замедляют ее старение. Масло зародышей кукурузы насыщает кожу  незаменимыми  омега-6  и омега-9  кислотами.  Богатые олигосахаридами  протеины овса возвращают коже первозданную мягкость.  Крем делает кожу  нежной  и  эластичной, улучшает  цвет,  разглаживает мелкие морщинки.</t>
  </si>
  <si>
    <t>Состав:  вода  деионизированная, масло рисовое, масло зародышей кукурузы, масло кокосовое, стеарат сахарозы, полиглицерил-3-метилглюкозы  дистеарат, экстракт плодов боярышника,  экстракт  плодов  рябины, масло  алтайской  облепихи, масло календулы, масло карите, протеины  овса,  цетеариловый спирт,  аллантоин,  бензиловый спирт, глицерил каприлат, α-токоферола  ацетат  (витамин  Е), молочная  кислота,  эфирное масло  лаванды  (Lavandula officinalis  Chaix),  лактат  натрия. Не  содержит  синтетических отдушек и красителей.</t>
  </si>
  <si>
    <t>Применение:  легкими  движе-
ниями нанести крем на чистую 
кожу лица, шеи и зоны деколь-
те.  Не  использовать  перед 
выходом на солнце.</t>
  </si>
  <si>
    <t>https://disk.yandex.ru/d/b66jsObEz3jUxw</t>
  </si>
  <si>
    <t>https://kleona.com/lico/kremy_dlya_litsa/krem-dlya-lica-ovsyanka-nochnoj/</t>
  </si>
  <si>
    <t>Крем для лица "Овсянка", ночь, /питание и восстан./, 50 мл</t>
  </si>
  <si>
    <t>https://disk.yandex.ru/d/BFbh5KGlGj0MJw</t>
  </si>
  <si>
    <r>
      <t xml:space="preserve">Маска "Овсянка" для лица, интенс. восстановление, 50 г </t>
    </r>
    <r>
      <rPr>
        <b/>
        <sz val="10"/>
        <rFont val="Arial"/>
        <family val="2"/>
        <charset val="204"/>
      </rPr>
      <t xml:space="preserve"> </t>
    </r>
  </si>
  <si>
    <t>50 г</t>
  </si>
  <si>
    <t>ЕАЭС №RU Д-RU.НВ51.В.00118/20</t>
  </si>
  <si>
    <t>https://disk.yandex.ru/d/0b9XBrjHNc-G1g</t>
  </si>
  <si>
    <t xml:space="preserve">банка ПЭТ белая / крышка белая П </t>
  </si>
  <si>
    <t>Овсяная маска – незаменимое средство ухода за лицом. Это лучший 
способ мягко очистить, увлажнить и успокоить сухую, чувствительную 
или раздраженную кожу. Натуральный влагоудерживающий комплекс на основе природных сахаров, молочные протеины и протеины овса быстро восстанавливают гидролипидный баланс кожи, возвращают ей гладкость,  упругость  и  эластичность.  Липа,  ромашка  и  календула успокаивают кожу, ускоряют процесс регенерации клеток. Результат от применения маски - нежная, бархатистая кожа и красивый цвет лица.
·   не содержит продуктов переработки нефти;
·   не содержит синтетических эмульгаторов;
·   не содержит синтетических отдушек и красителей;
·   не содержит консервантов.</t>
  </si>
  <si>
    <t>Состав:  молотая  овсяная  крупа,  рисовая  мука,  сухое  молоко,  цветки  липы,  цветки ромашки  лекарственной,  цветки  календулы,  бетаин,  натуральный  полисахаридный влагоудерживающий  комплекс,  масло  оливковое,  масло  сладкого  миндаля,  лактат натрия, лимонная кислота, эфирное масло лаванды, эфирное масло голубой ромашки.</t>
  </si>
  <si>
    <t>Применение:  1  ч.  ложку  маски  залейте  небольшим  количеством  кипятка  и запарьте.  Теплую  кашицу  нанесите  на  чистую  кожу  лица  на  15  минут,  затем смойте теплой водой.</t>
  </si>
  <si>
    <t>https://disk.yandex.ru/d/js_St7eHuog6Sg</t>
  </si>
  <si>
    <t>https://kleona.com/lico/maski-dlya-lica/maska-dlya-suhoj-kozhi-ovsyanka/</t>
  </si>
  <si>
    <t>47*Ø63</t>
  </si>
  <si>
    <t>100*129*192</t>
  </si>
  <si>
    <t>Молочко "Овсянка" для снятия макияжа, 200 мл</t>
  </si>
  <si>
    <t>160*47*47</t>
  </si>
  <si>
    <t>флакон 200 мл ПЭТ белый Ц / 24/410 помпа дозирующая белая</t>
  </si>
  <si>
    <t xml:space="preserve">Действие: молочко с маслом миндаля, маслом 
календулы и протеинами овса для ежедневного 
удаления макияжа с поверхности кожи. Бережно 
и эффективно очищает кожу, смягчает ее, поддерживает естественный уровень ее увлажненности.  Обладает  легкой  текстурой.  Благодаря мягкой формуле и физиологическому значению рН подходит для очищения нежной кожи вокруг глаз. </t>
  </si>
  <si>
    <t>Состав:  вода  деионизированная,  масло  миндальных  косточек,  масло  календулы,  масло рисовое,  стеарат  сахарозы,  протеины  овса, эмульсионный воск, молочные протеины, молочная кислота, бензиловый спирт, глицерил каприлат,  α-токоферола  ацетат  (витамин  Е),  лактат натрия,  ксантан.  Не  содержит  синтетических отдушек и красителей.</t>
  </si>
  <si>
    <t>Применение: нанесите молочко на ватный диск и  легкими  движениями  очистите  кожу  лица  и область  вокруг  глаз.  Ополосните  лицо  теплой водой.</t>
  </si>
  <si>
    <t>https://disk.yandex.ru/d/6Dssl8z9FBcPnw</t>
  </si>
  <si>
    <t>https://kleona.com/lico/dlya-umyvaniya-i-udaleniya-makiyazha/molochko-dlya-snyatiya-makiyazha-seriya-ovsyanka/</t>
  </si>
  <si>
    <t xml:space="preserve">Молочко "Овсянка" для тела, 100 мл   </t>
  </si>
  <si>
    <t>флакон 100 мл ПЭТ прозрачный П / 20/410 флип-топ белый / колпачок ТУ прозрачный</t>
  </si>
  <si>
    <t>Молочко для ежедневного ухода за телом. Содержит молочные протеины, протеины овса и натуральный увлажняющий комплекс на основе природных сахаров, которые длительно сохраняют влагу, обеспечивая глубокое увлажнение кожи. Экстракты календулы и тысячелистника устраняют сухость, шелушение, снимают раздражение.
Быстро впитывается, не оставляет масляной пленочки. Придает коже бархатистость и длительное ощущение увлажненности.</t>
  </si>
  <si>
    <t>Состав:  вода  деионизированная, масло миндальных косточек, масло карите, масло  календулы,  масло  клещевины, экстракт  тысячелистника,  цетеариловый  спирт, эмульсионный  воск,  натуральный  увлажняющий полисахаридный комплекс, бетаин, протеины овса, молочная кислота, лактат калия, аллантоин, бензиловый  спирт,  глицерил  каприлат,  эфирное  масло лаванды  (Lavandula  officinalis  Chaix),  α-токоферола ацетат  (витамин  Е).  Не  содержит  синтетических отдушек и  красителей.</t>
  </si>
  <si>
    <t>Применение: наносите молочко на чистое тело по мере необходимости. Легкими массирующими движениями втирайте его в кожу до полного впитывания.</t>
  </si>
  <si>
    <t>https://disk.yandex.ru/d/rLBkoap_yOduMA</t>
  </si>
  <si>
    <t>https://kleona.com/telo/molochko-dlya-tela/molochko-dlya-tela-ovsyanka/</t>
  </si>
  <si>
    <t>Молочко "Овсянка" для тела, 200 мл</t>
  </si>
  <si>
    <t>164*Ø47</t>
  </si>
  <si>
    <t>флакон 200 мл ПЭТ белый П / 24/410 диск-топ белый / колпачок ТУ прозрачный</t>
  </si>
  <si>
    <t>https://disk.yandex.ru/d/4MKrZp1vC3nPCA</t>
  </si>
  <si>
    <r>
      <t>Крем для рук "Овсянка", увлажн. и восстановл., 100 мл</t>
    </r>
    <r>
      <rPr>
        <b/>
        <sz val="10"/>
        <color indexed="10"/>
        <rFont val="Arial"/>
        <family val="2"/>
        <charset val="204"/>
      </rPr>
      <t xml:space="preserve">   </t>
    </r>
  </si>
  <si>
    <t>154*39*39</t>
  </si>
  <si>
    <t>флакон 100 мл стекло коричневый / 18/415 дозатор кремовый белый / колпачок ТУ  белый</t>
  </si>
  <si>
    <t xml:space="preserve">Действие:  крем  для  ежедневного  интенсивного  ухода  за сухой кожей рук. Богатый олигосахаридами овсяный протеин увлажняет кожу, придает коже эластичность, защищает от потери влаги. Молочная кислота смягчает загрубевшие участки кожи. Экстракты календулы и тысячелистника успокаивают раздраженную кожу, ускоряют заживление мелких царапин и порезов. Масло карите защищает кожу от обезжиривания и обезвоживания при использовании моющих средств. Регулярное применение крема устраняет сухость кожи, придает рукам ухоженный вид. 
·   изготовлен из продуктов растительного происхождения;
·   не содержит продуктов животного происхождения;
·   не содержит продуктов переработки нефти;
·   не содержит синтетических эмульгаторов;
·   не содержит синтетических отдушек и красителей;
·   содержит консерванты, разрешенные  стандартом </t>
  </si>
  <si>
    <t xml:space="preserve">Состав: вода деионизированная, масло карите, масло рисовых отрубей, стеарат сахарозы, масло календулы, экстракт тысячелистника,  масло  кокосовое,  цетеариловый  спирт,  натуральный  полисахаридный  влагоудерживающий  комплекс, протеины овса, лактат калия, рисовый воск, масло клещевины,  D-пантенол,  аллантоин,  глицерин  растительного  происхождения,  бензиловый  спирт,  глицерил  каприлат,  эфирное масло  лаванды  (Lavandula  officinalis  Chaix),  α-токоферола ацетат (витамин Е), ксантан.
П
</t>
  </si>
  <si>
    <t>рименение: используйте крем ежедневно после каждого мытья рук или по мере необходимости.</t>
  </si>
  <si>
    <t>https://disk.yandex.ru/d/Tl-deBvUijelKA</t>
  </si>
  <si>
    <t>https://kleona.com/telo/kremy_dlya_ruk/krem-dlya-ruk-ovsyanka/</t>
  </si>
  <si>
    <t xml:space="preserve">Сыворотка "Овсянка" увлажняющая, 25 мл  </t>
  </si>
  <si>
    <t>https://disk.yandex.ru/i/3bU98kLb2wnCFg</t>
  </si>
  <si>
    <t>флакон 30 мл стекло прозрачный / 18/415 пипетка белая / колпачок ТУ белый (прозрачный)</t>
  </si>
  <si>
    <t>Для кожи лица, области вокруг глаз и зоны декольте.
Легкое средство на основе геля гиалуроновой кислоты для ежедневного применения. Интенсивно увлажняет и питает кожу в течение длительного времени. Благодаря сбалансированной комбинации фосфолипидов, витаминов и растительных масел восстанавливает и укрепляет ее липидный барьер. Придает чувство комфорта и приятные тактильные ощущения, которые сохраняются и после умывания. Легко наносится, быстро впитывается. Для утреннего и/или вечернего ухода. В холодное время года наносите сыворотку под уходовый крем.</t>
  </si>
  <si>
    <t>Состав: вода деионизированная, масло миндальных косточек, свекольный бетаин, глицерин растительного происхождения, фосфолипиды овса, масло бабассу, масло жожоба, гиалуроновая кислота, бензиловый спирт, экстракт жимолости  японской, масло клещевины, эфирное масло лаванды, эфирное масло голубой ромашки, витамин Е, глюкозиды природных жирных кислот (кокоглюкозиды), увлажняющий полисахаридный комплекс, глицерил олеат, экстракт алоэ вера, витамин F, аллантоин, сорбат калия.</t>
  </si>
  <si>
    <t>Применение: интенсивно встряхнуть флакон до полной однородности содержимого. Нанести небольшое количество сыворотки на сухую или увлажненную кожу. Подождать 1-2 минуты до полного впитывания. Если на коже осталась липкость, промокнуть лицо бумажной салфеткой и уменьшить количество наносимой сыворотки. Возможно непродолжительное ощущение разогрева, покалывания и покраснение кожи. Не наносить сыворотку в два слоя.</t>
  </si>
  <si>
    <t>https://disk.yandex.ru/d/C1D9qTnoCjkj_g</t>
  </si>
  <si>
    <t>https://kleona.com/lico/syvorotki/cyvorotka-uvlazhnyayuwaya-ovsyanka/</t>
  </si>
  <si>
    <t>Серия "РОЗА" (ежедневный уход)</t>
  </si>
  <si>
    <t>4627186341282</t>
  </si>
  <si>
    <r>
      <t xml:space="preserve">Пенка для умывания "Роза" для лица и зоны вокруг глаз, </t>
    </r>
    <r>
      <rPr>
        <b/>
        <sz val="12"/>
        <color rgb="FFFF0000"/>
        <rFont val="Arial"/>
        <family val="2"/>
        <charset val="204"/>
      </rPr>
      <t>с массажной щеткой</t>
    </r>
    <r>
      <rPr>
        <b/>
        <sz val="10"/>
        <rFont val="Arial"/>
        <family val="2"/>
        <charset val="204"/>
      </rPr>
      <t xml:space="preserve">, 150 мл   </t>
    </r>
  </si>
  <si>
    <t>флакон 150 мл ПЭТ белый Ц / пенообразовтель натуральный с щеточкой / защитный колпачок натуральный / ТУ пленка</t>
  </si>
  <si>
    <t>Действие: бережно очищает кожу лица и  зону вокруг глаз от макияжа. Выравнивает цвет лица, оказывает успокаивающее и восстанавливающее действие, создает ощущение комфорта. Придает коже мягкость и бархатистость. Нейтрализует неблагоприятное воздействие на кожу жесткой и хлорированной воды. Подходит для ежедневного применения.
Легко смывается. Мягкая силиконовая щетка легко снимает макияж, массирует кожу лица, способствует улучшению микроциркуляции и очищению пор, делает кожу нежной и гладкой.</t>
  </si>
  <si>
    <t>Состав: вода деионизированная, гидролат розы, гидролат яблок, лаурилсульфоацетат натрия, децилглюкозид, пироглутамат натрия (Sodium PCA), полиглицерил-2-диполигидроксистеарат, экстракт плодов шиповника, глицерин растительный, лимонная кислота, экстракт жимолости японской, эфирное масло розы дамасской, кококаприлат, экстракт окопника (содержит аллантоин), экстракт ромашки (содержит бисаболол).</t>
  </si>
  <si>
    <t xml:space="preserve">Применение:  нажмите на помпу до появления обильной пены, силиконовой щеточкой нанесите пенку на влажную кожу и слегка помассируйте ее, затем тщательно смойте теплой водой. Для области вокруг глаз возьмите немного пены и используйте привычным для вас способом. В случае необходимости повторите процедуру. После смывания пенки протрите кожу гидролатом или тоником и нанесите ухаживающее средство. </t>
  </si>
  <si>
    <t>https://disk.yandex.ru/d/UMvKmYVigDbpkg</t>
  </si>
  <si>
    <t>https://kleona.com/lico/dlya-umyvaniya-i-udaleniya-makiyazha/penka-dlya-umyvaniya-roza-s-massazhnoj-shetochkoj/</t>
  </si>
  <si>
    <t>4627186340131</t>
  </si>
  <si>
    <r>
      <t xml:space="preserve">Пенка для умывания "Роза" для лица и зоны вокруг глаз, 150 мл </t>
    </r>
    <r>
      <rPr>
        <b/>
        <sz val="10"/>
        <color indexed="10"/>
        <rFont val="Arial"/>
        <family val="2"/>
        <charset val="204"/>
      </rPr>
      <t xml:space="preserve"> </t>
    </r>
  </si>
  <si>
    <t>флакон 150 мл ПЭТ белый Ц / пенообразовтель натуральный / защитный колпачок натуральный / ТУ пленка</t>
  </si>
  <si>
    <t xml:space="preserve">Действие: бережно очищает кожу лица и  зону вокруг глаз от макияжа. Выравнивает цвет лица, оказывает успокаивающее и восстанавливающее действие, создает ощущение комфорта. Придает коже мягкость и бархатистость. Нейтрализует неблагоприятное воздействие на кожу жесткой и хлорированной воды. Подходит для ежедневного применения.
Легко смывается.
</t>
  </si>
  <si>
    <t xml:space="preserve">Применение: для очищения лица и зоны вокруг глаз достаточно двух кликов. Нанесите пенку на влажную кожу и слегка помассируйте по массажным линиям, затем тщательно смойте теплой водой. В случае необходимости повторите процедуру. После смывания пенки протрите кожу гидролатом или тоником и нанесите ухаживающее средство.
При соблюдении техники умывания возможно применение для наращенных ресниц.
</t>
  </si>
  <si>
    <t>https://disk.yandex.ru/d/v08L3vnHflROyg</t>
  </si>
  <si>
    <t>https://kleona.com/spa/_3/penka-dlya-umyvaniya-roza1/</t>
  </si>
  <si>
    <t>4627101829543</t>
  </si>
  <si>
    <t xml:space="preserve">Тоник "Роза" очищающий, 150 мл  </t>
  </si>
  <si>
    <t>коричневый прозрачны</t>
  </si>
  <si>
    <t>Действие: очищающий и ухаживающий тоник для всех типов кожи. Нормализует водный баланс кожи и очищает ее от остатков макияжа. Тонизирует и освежает цвет лица, нейтрализует действие хлорированной воды, нормализует рН кожи. Интенсивно увлажняет и восстанавливает эластичность кожи, смягчает и успокаивает ее, подготавливает к последующему нанесению ухаживающего косметического средства.
Может вызывать легкое пощипывание и ощущение тепла.</t>
  </si>
  <si>
    <t>Состав: вода деионизированная, экстракт плодов шиповника, экстракт плодов боярышника, экстракт плодов терна, экстракт шалфея мускатного, глицерин растительного происхождения, сорбитол, мед пчелиный натуральный, гель гиалуроновой кислоты, гель алоэ вера, экстракт японской жимолости, кокоглюкозид, лецитин, токоферола ацетат (витамин Е), молочная кислота, ксантановая камедь, эфирное масло розы, сорбат натрия.</t>
  </si>
  <si>
    <t>Применение: используйте после умывания как завершающий этап очищения, нанесите на ватный диск и протрите кожу.</t>
  </si>
  <si>
    <t>https://disk.yandex.ru/d/VY-wXaiSaDgbCA</t>
  </si>
  <si>
    <t>https://kleona.com/spa/_3/tonik-roza1/</t>
  </si>
  <si>
    <t>4627101829413</t>
  </si>
  <si>
    <t xml:space="preserve">Мягкий гель для умывания "Роза", 60 мл   </t>
  </si>
  <si>
    <t>60 мл</t>
  </si>
  <si>
    <t>светло-коричневый</t>
  </si>
  <si>
    <t>124*Ø35</t>
  </si>
  <si>
    <t>флакон 60 мл ПЭТ белый / 20/410 флип-топ белый</t>
  </si>
  <si>
    <t>Действие: мягко очищает, эффективно удаляет макияж и загрязнения с первого раза. Сохраняет естественную увлажненность кожи. Смягчает, придает ощущение чистоты и свежести. Нейтрализует высушивающее действие жесткой и хлорированной воды. Подходит для ежедневного применения.</t>
  </si>
  <si>
    <t>Состав: вода деионизированная, гидролат розы, свекольный бетаин, глицерин растительного происхождения, кокоглюкозид натрия, кокамидопропилбетаин, кокосульфат натрия, глицерилолеат, экстракт таволги (Filipéndula), экстракт вероники лекарственной (Verónica officinalis), хлорид натрия, сульфат натрия, экстракт жимолости японской, эфирное масло розы, экстракт фенхеля, экстракт кардамона, эфирное масло розового дерева, экстракт алоэ вера.</t>
  </si>
  <si>
    <t xml:space="preserve">Применение: вспеньте небольшое количество геля в ладонях, нанесите пенку на лицо и слегка помассируйте, после чего тщательно смойте теплой водой.
При длительном неиспользовании возможно расслоение, помутнение, образование осадка или хлопьев, не меняющих свойства продукта. </t>
  </si>
  <si>
    <t>https://disk.yandex.ru/d/J1IUh0EobqsIBA</t>
  </si>
  <si>
    <t>https://kleona.com/spa/_3/myagkij-gel-dlya-umyvaniya-seriya-roza1/</t>
  </si>
  <si>
    <t>http://kleona.tilda.ws/geldlyaumivania_roza</t>
  </si>
  <si>
    <t>4627101829420</t>
  </si>
  <si>
    <t xml:space="preserve">Мягкий гель для умывания "Роза", 150 мл    </t>
  </si>
  <si>
    <t>флакон 150 мл ПЭТ белый Ц / 20/410 помпа дозирующая белая / защитный зажим / ТУ пленка</t>
  </si>
  <si>
    <t>Бальзам для губ "Роза" в коробочке, 10 мл</t>
  </si>
  <si>
    <t>жёлтый</t>
  </si>
  <si>
    <t>94*44*25</t>
  </si>
  <si>
    <t>Бальзам для ежедневного ухода за губами с нежным ароматом розы и ванили. Длительно увлажняет и смягчает кожу губ, делает ее гладкой и упругой, придает губам свежесть, выразительность и  приятный блеск. С этим бальзамом ваши губы всегда будут ухоженными и привлекательными.</t>
  </si>
  <si>
    <t>натуральный пчелиный воск, масло какао, кокосовое масло, масло ши, канделильский воск, масло зародышей кукурузы, масло авокадо, масло календулы, сквалан, экстракт ванили, глицерилкаприлат, эфирное масло розы, витамин Е, масло облепихи алтайской.</t>
  </si>
  <si>
    <t>наносите на чистую кожу губ по мере необходимости</t>
  </si>
  <si>
    <t>https://disk.yandex.ru/d/7bRm7mIWl6fGkw</t>
  </si>
  <si>
    <t>https://kleona.com/lico/dlya-gub/bal-zam-dlya-gub-roza/</t>
  </si>
  <si>
    <t>Цветочная вода "Роза", 100 мл (пластик)</t>
  </si>
  <si>
    <t>ЕАЭС N RU Д-RU.РА05.В.80990/23</t>
  </si>
  <si>
    <t>https://disk.yandex.ru/i/bhSks2ToLO_x3w</t>
  </si>
  <si>
    <t>144*51*29</t>
  </si>
  <si>
    <t xml:space="preserve">флакон 100 мл ПЭТ белый Ц / 20/410 распылитель белый с прозрачным колпачком </t>
  </si>
  <si>
    <t>цветочная вода с тонким ароматом свежих роз. Деликатное средство для любого типа кожи и для любого возраста. Благодаря мягкому действию рекомендуется для ежедневного умывания лица и зоны декольте. Интенсивно увлажняет, смягчает и успокаивает кожу, уменьшает признаки стресса, улучшает цвет лица. Омолаживает, повышает тонус и эластичность кожи, придает ей приятную бархатистость. Мягко очищает и придает чувство свежести, удаляет остатки водорастворимой косметики. Хорошая увлажняющая основа под макияж.</t>
  </si>
  <si>
    <t>100% продукт паровой дистилляции цветов розы (Rosa gallica) с Крымского побережья.</t>
  </si>
  <si>
    <t>распыляйте на кожу по мере необходимости; для очищения используйте ватный диск, смоченный в цветочной воде.</t>
  </si>
  <si>
    <t>https://disk.yandex.ru/d/gzBMdBdMmbR88g</t>
  </si>
  <si>
    <t>https://kleona.com/lico/gidrolaty/cvetochnaya-voda-roza/</t>
  </si>
  <si>
    <t>150*111*174</t>
  </si>
  <si>
    <t xml:space="preserve">Крем для кожи вокруг глаз "Роза", 15 мл  </t>
  </si>
  <si>
    <t>белый молочный</t>
  </si>
  <si>
    <t>Каробка картонная</t>
  </si>
  <si>
    <t xml:space="preserve">эффективно увлажняет и питает деликатную зону вокруг глаз,  придает коже более свежий и отдохнувший вид. Поддерживает эластичность и упругость кожи, разглаживает мелкие морщинки. Успокаивает, дарит ощущение комфорта. Защищает кожу от внешних воздействий и ультрафиолета, SPF-5. Имеет легкую текстуру, быстро впитывается, не оставляя блеска. Является прекрасной основой под макияж. </t>
  </si>
  <si>
    <t>вода деионизированная, масло зародышей кукурузы, масло косточек винограда, масло макадамии, масло Ши, триглицериды низкомолекулярных кислот кокосового масла, стеарилглюкозид, глюкоза, полисахаридный увлажняющий комплекс, масло Жожоба, экстракт зеленого чая, экстракт жимолости, глицерилкаприлат, витамин А, комплекс омега-полиненасыщенных незаменимых жирных кислот (омега-3, омега-6 и омега-9), аллантоин, токоферола ацетат (Витамин Е), эфирное масло розы (Rosa Gallica).</t>
  </si>
  <si>
    <t>точечно нанесите крем на очищенную кожу лица, шеи и декольте. Мягкими движениями подушечек пальцев распределите крем по массажным линиям до полного впитывания.</t>
  </si>
  <si>
    <t>https://disk.yandex.ru/d/N7QqoWqqGbyIIQ</t>
  </si>
  <si>
    <t>https://kleona.com/lico/dlya-vek-i-zony-vokrug-glaz/krem-dlya-kozhi-vokrug-glaz-roza/</t>
  </si>
  <si>
    <r>
      <rPr>
        <b/>
        <sz val="10"/>
        <rFont val="Arial"/>
        <family val="2"/>
        <charset val="204"/>
      </rPr>
      <t xml:space="preserve">Крем для лица день-ночь "Роза", 50 мл   </t>
    </r>
    <r>
      <rPr>
        <b/>
        <sz val="10"/>
        <color indexed="10"/>
        <rFont val="Arial"/>
        <family val="2"/>
        <charset val="204"/>
      </rPr>
      <t xml:space="preserve"> </t>
    </r>
  </si>
  <si>
    <t>флакон 50 мл стекло прозрачный / 18/415 дозатор кремовый белый / колпачок ТУ белый/ коробка</t>
  </si>
  <si>
    <t>картон</t>
  </si>
  <si>
    <t>обеспечивает длительное увлажнение и питание кожи, повышая ее упругость и эластичность. Делает кожу мягкой, нежной и бархатистой. Содержит антиоксиданты, улучшающие цвет кожи. Придает лицу свежий и ухоженный вид. Защищает кожу от внешних воздействий и ультрафиолета, SPF-5. Очень легкий, быстро впитывается, не оставляя жирного блеска. Является хорошей основой под макияж.</t>
  </si>
  <si>
    <t>вода деионизированная, гидролат розы, оливковое масло, масло календулы, масло Ши, масло косточек абрикоса, стеарат сахарозы, цетеариловый спирт, масло шиповника, природный глицерин, пчелиный воск, рисовый воск, экстракт зеленого чая,  гидрогенизированный лецитин, биосахаридная камедь, кокосовое масло, комплекс омега-полиненасыщенных незаменимых жирных кислот (омега-3, омега-6 и омега-9), экстракт жимолости, глицерилкаприлат, аллантоин, токоферола ацетат (Витамин Е), эфирное масло розы (Rosa Gallica), ксантовая камедь.</t>
  </si>
  <si>
    <t>https://disk.yandex.ru/d/mwFWeQ4U0QHeKA</t>
  </si>
  <si>
    <t>https://kleona.com/lico/kremy_dlya_litsa/krem-dlya-lica-roza-den-noch/</t>
  </si>
  <si>
    <t xml:space="preserve">Крем для лица день-ночь "Роза", 30 мл   </t>
  </si>
  <si>
    <t>• для лица, шеи и зоны декольте •
Крем для лица обеспечивает длительное увлажнение и питание кожи, повышая ее упругость и эластичность. Делает кожу мягкой, нежной и бархатистой. Содержит антиоксиданты, улучшающие цвет кожи. Придает лицу свежий и ухоженный вид. Защищает кожу от внешних воздействий и ультрафиолета, SPF-5. Очень легкий, быстро впитывается, не оставляя жирного блеска. Является хорошей основой под макияж.</t>
  </si>
  <si>
    <t>Состав: вода деионизированная, гидролат розы, масло оливковое, масло календулы, масло карите, масло косточек абрикоса, стеарат сахарозы, цетеариловый спирт, масло шиповника, глицерин растительного происхождения, пчелиный воск, рисовый воск, экстракт зеленого чая,  гидрогенизированный лецитин, биосахаридная камедь, масло кокосовое, комплекс омега- полиненасыщенных незаменимых жирных кислот (омега-3, омега-6 и омега-9), экстракт жимолости японской, глицерил каприлат, аллантоин, токоферола ацетат (витамин Е), эфирное масло розы, ксантановая камедь.</t>
  </si>
  <si>
    <t>Применение: точечно нанесите крем на очищенную кожу лица, шеи и зону декольте. Мягкими движениями подушечек пальцев распределите крем по массажным линиям до полного впитывания.</t>
  </si>
  <si>
    <t>https://disk.yandex.ru/d/8uccfUqJ9nTttQ</t>
  </si>
  <si>
    <t xml:space="preserve">М И Н И !!!     Крем для лица день-ночь "Роза", 15 мл </t>
  </si>
  <si>
    <t>86*Ø25</t>
  </si>
  <si>
    <t>флакон 15 мл ПЭТ прозрачный Ц / дозатор кремовый белый с прозрачным колпачком</t>
  </si>
  <si>
    <t>https://disk.yandex.ru/d/zY41fONkuxT5Zg</t>
  </si>
  <si>
    <t>Мыло "Роза" в шелковой бумаге, 75 г</t>
  </si>
  <si>
    <t>75 г</t>
  </si>
  <si>
    <t>розово-жёлтый</t>
  </si>
  <si>
    <t>27*Ø64</t>
  </si>
  <si>
    <t>бумага калька</t>
  </si>
  <si>
    <t>мыло с чувственным ароматом розы и тонкими нотами лаванды, обогащенное миндальным маслом. Обильная, и в то же время нежная пенка деликатно очистит самую чувствительную кожу, сохранив ее естественную мягкость и увлажненность, придаст бархатистость и ухоженный вид. Чудесный запах мыла подарит ощущение легкости и умиротворения.</t>
  </si>
  <si>
    <t>омыленная смесь пальмоядрового, кокосового, оливкового, касторового масел, масла манго и масла авокадо, вода, природный глицерин, экстракт лаванды, лактат натрия, цитрат натрия, a-токоферола ацетат (Витамин Е), масло Жожоба, эфирные масла: лаванды, розы, герани.</t>
  </si>
  <si>
    <t>Способ применения: вспеньте мыло с водой. Нанесите пенку на кожу лица, шеи или тела круговыми массирующими движениями. Сполосните кожу теплой водой. Промокните полотенцем.
Ограничения по применению: аллергические реакции на компоненты мыла.
Дополнительная информация: при длительном контакте с водой мыло раскисает. Во избежание этого держите мыло в хорошо проветриваемой перфорированной деревянной или пластиковой мыльнице.
Не храните мыло (особенно влажное) в мыльницах, на полочках, решетках из металлизированной пластмассы.</t>
  </si>
  <si>
    <t>https://disk.yandex.ru/d/bUcwaLif-z6gAg</t>
  </si>
  <si>
    <t>https://kleona.com/dlya-dusha-i-bani/myla-tualetnye/mylo-roza/</t>
  </si>
  <si>
    <t xml:space="preserve">Сыворотка "Роза" освежающая, 25 мл   </t>
  </si>
  <si>
    <t>https://disk.yandex.ru/i/3pdiTbJgMsaDtg</t>
  </si>
  <si>
    <t>Легкое нежирное средство на основе геля гиалуроновой кислоты для ежедневного ухода за кожей лица, шеи и зоны декольте. Интенсивно увлажняет и тонизирует, сохраняет упругость и эластичность кожи. Устраняет сухость и шелушение, освежает цвет лица. Придает чувство комфорта и приятные тактильные ощущения, которые сохраняются и после умывания. Легко наносится, быстро впитывается. Для утреннего и/или вечернего ухода. В холодное время года наносите сыворотку под уходовый крем.</t>
  </si>
  <si>
    <t>Состав:  вода, масло виноградных косточек, свекольный бетаин, глицерин, гидрогенизированный лецитин, масло бабассу, масло жожоба, гиалуроновая кислота, бензиловый спирт, экстракт японской жимолости, эфирное масло розы, глюкозиды природных жирных кислот (кокоглюкозиды), кофеина бензоат, бисаболол, экстракт алоэ вера, экстракт каркаде, лимонная кислота, сорбат калия.</t>
  </si>
  <si>
    <t xml:space="preserve">Применение: интенсивно встряхнуть флакон до полной однородности содержимого. Нанести небольшое количество сыворотки на сухую или увлажненную кожу лица, избегая области вокруг глаз. Подождать 1-2 минуты до полного впитывания. Если на коже осталась липкость, промокнуть лицо бумажной салфеткой и уменьшить количество наносимой сыворотки. Возможно непродолжительное ощущение разогрева, покалывания и покраснение кожи.  Не наносить сыворотку в два слоя. </t>
  </si>
  <si>
    <t>https://disk.yandex.ru/d/A-HS_oR7bNwJVw</t>
  </si>
  <si>
    <t>https://kleona.com/lico/syvorotki/cyvorotka-roza-dlya-vseh-tipov-kozhi/</t>
  </si>
  <si>
    <t>нет</t>
  </si>
  <si>
    <t>Коробка подарочная "Роза" полный комплект (дно+крышка)</t>
  </si>
  <si>
    <t>сертификат на картон</t>
  </si>
  <si>
    <t>Коробка подарочная "Роза" донышко</t>
  </si>
  <si>
    <t>Подарок "Роза" в коробке</t>
  </si>
  <si>
    <t>Серия "ДЛЯ ПРОБЛЕМНОЙ КОЖИ"</t>
  </si>
  <si>
    <t>№ 1   Мыло Соляное в коробке, 100 г</t>
  </si>
  <si>
    <t>100 г</t>
  </si>
  <si>
    <t>свежий сладкий мятный</t>
  </si>
  <si>
    <t>светло-кремовый</t>
  </si>
  <si>
    <t>58*93*26</t>
  </si>
  <si>
    <t>пленка пнд</t>
  </si>
  <si>
    <t>коробка</t>
  </si>
  <si>
    <t xml:space="preserve">Для ежедневного умывания жирной и проблемной кожи лица. Мягко очищает поры и дезинфицирует кожу. Уменьшает воспаления, способствует быстрому заживлению ранок. Эффективно подсушивает и уменьшает прыщи и угревую сыпь. Улучшает дренаж, ускоряет выведение токсинов из кожи. Подходит для процедуры пенно-соляного гоммажа, благодаря которому происходит глубокое очищение кожи. Дарит легкую прохладу, придает ощущение свежести. </t>
  </si>
  <si>
    <t xml:space="preserve">Состав:  омыленная  смесь  кокосового,  пальмового,  касторового  масел  и  масла  карите, природная каменная соль озера Баскунчак, вода деионизированная, каолин, экстракт подорожника,  глицерин  растительного  происхождения,  экстракт  тысячелистника,  экстракт хвоща,  эфирное  масло  шалфея,  эфирное  масло  розмарина,  эфирное  масло  эвкалипта, эфирное масло чайного дерева, эфирное масло бергамота, витамин Е.
</t>
  </si>
  <si>
    <t>https://disk.yandex.ru/d/EeAesdXSzvhQ5w</t>
  </si>
  <si>
    <t>https://kleona.com/dlya-dusha-i-bani/myla_s_lechebnym_ehffektom1/mylo_solyanoe_2/</t>
  </si>
  <si>
    <t>№ 2   Мягкий гель для умывания (очищение, демакияж), 100 мл</t>
  </si>
  <si>
    <t>ЕАЭС N RU Д-RU.РА04.В.18362/22</t>
  </si>
  <si>
    <t>сладкий розовый</t>
  </si>
  <si>
    <t>жёлтый прозрачный</t>
  </si>
  <si>
    <t>149*38*38</t>
  </si>
  <si>
    <t>флакон 100 мл ПЭТ белый Ц / 20/410 дозатор кнопочный белый (натуральный) с колпачком</t>
  </si>
  <si>
    <t xml:space="preserve">Действие:  нежное  натуральное  средство  для очищения лица и удаления макияжа. Превосходно смывает загрязнения, излишки кожного жира и декоративную косметику. Экстракты зверобоя и тысячелистника смягчают, освежают, успокаивают кожу. Антибактериальные компоненты лекарственных трав и кислый рН геля, равный 5.0, препятствуют развитию воспалительных процессов. Гель не сушит и не стягивает кожу. 
</t>
  </si>
  <si>
    <t xml:space="preserve">Состав:  гидролат  розы,  экстракт  календулы, экстракт  зверобоя,  экстракт  ромашки  лекарственной, экстракт тысячелистника, кокоамфоацетат  натрия,  алкилглюкозид  натрия,  кокоилглутамат  натрия,  алкилполиглюкозидкарбоксилат  натрия,  кокамидопропил  бетаин,  глицерил олеат,  бензиловый  спирт,  лимонная  кислота, дегидроуксусная  кислота,  стеарат  сахарозы, лактат натрия, аллантоин, эфирное масло розы, бензойная кислота, сорбиновая кислота, каприлил гликоль.
</t>
  </si>
  <si>
    <t>https://disk.yandex.ru/d/m61YTnB09HurFw</t>
  </si>
  <si>
    <t>https://kleona.com/lico/dlya-umyvaniya-i-udaleniya-makiyazha/myagkij-gel-dlya-umyvaniya-dlya-zhirnoj-i-problemnoj-kozhi/</t>
  </si>
  <si>
    <t>п-5/12</t>
  </si>
  <si>
    <t>№ 3   Мицеллярный лосьон (очищение кожи, демакияж), 150 мл</t>
  </si>
  <si>
    <t>https://disk.yandex.ru/d/zxQ0LI6vjWsh8w</t>
  </si>
  <si>
    <t>легкий розовый</t>
  </si>
  <si>
    <t>136*52*34</t>
  </si>
  <si>
    <t>флакон 150 мл ПЭТ прозрачный П / 20/410 флип-топ белый/ колпачок ТУ прозрачный</t>
  </si>
  <si>
    <t xml:space="preserve">Действие:  натуральный  лосьон  с  мягкими природными  мицеллообразующими  веществами, извлеченными из мыльного корня, и  активным  фитокомплексом  лекарственных  растений.  Нежно очищает  кожу  от загрязнений  и  декоративной  косметики. Эффективно  растворяет  секрет  сальных желез,  глубоко  очищает  поры.  Экстракты лечебных трав обеспечивают антисептическое  действие,  препятствуют  росту  болезнетворных  бактерий,  успокаивают  кожу, уменьшают покраснения. Лосьон не сушит кожу, не вызывает раздражения. Освежает, выравнивает цвет лица.
</t>
  </si>
  <si>
    <t xml:space="preserve">Состав:  вода  деионизированная,  экстракт цветков липы, экстракт цветков календулы, белое  виноградное  вино,  глицерин  растительного происхождения, экстракт мыльного корня,  лаурат  сахарозы,  биосахаридная камедь, ализариновое масло, олеат глицерина,  масло  жожоба,  бензиловый  спирт,  бензойная кислота, сорбитан каприлат, эфирное масло розы, олеат натрия, сорбиновая кислота, молочная кислота, ксантановая камедь.
</t>
  </si>
  <si>
    <t>.
Применение:  с  помощью  ватного  диска нанесите лосьон на кожу. Легкими движениями удалите загрязнения с кожи лица и шеи.  Смойте  лосьон  прохладной  водой через  2-3  минуты.  Не  использовать  для зоны вокруг глаз!</t>
  </si>
  <si>
    <t>https://disk.yandex.ru/d/8m3P0oQ0FLf5vA</t>
  </si>
  <si>
    <t>https://kleona.com/lico/dlya-umyvaniya-i-udaleniya-makiyazha/micellyarnyj-los-on-dlya-zhirnoj-i-problemnoj-kozhi/</t>
  </si>
  <si>
    <t>№ 4  Крем для лица День (увлажн., защита, мат. эффект), 30 мл</t>
  </si>
  <si>
    <t>ЕАЭС N RU Д-RU.ТР06.В.06523/19</t>
  </si>
  <si>
    <t>https://disk.yandex.ru/d/wTt4WEovlOYGyg</t>
  </si>
  <si>
    <t>кремовый</t>
  </si>
  <si>
    <t xml:space="preserve">Легкий  быстровпитывающийся  натуральный  крем на каждый день. Экстракты имбиря  и  календулы  нормализуют  секрецию  сальных желез, оказывают противовоспалительное,  антимикробное действие, тонизируют и подтягивают кожу, обеспечивают  необходимый  уровень  увлажненности  кожи  в  течение  всего дня. Крем оказывает матирующее  действие  и  защищает  кожу  от  неблагоприятных  факторов  окружающей среды. </t>
  </si>
  <si>
    <t xml:space="preserve">Состав:  вода  деионизированная,  стеарат  сахарозы, экстракт  корня  имбиря, масло  оливковое,  масло ши, масло календулы, биосахаридная камедь, цетеариловый спирт, масло кокосовое,  масло  клещевины, воск  семян  дерева  ним (Campo Neem Wax), глицерин  растительного  происхождения,  пчелиный  воск, токоферола  ацетат  (витамин  Е),  инулин,  молочная кислота,  лактат  натрия, бензиловый  спирт,  аллантоин,  глицерил  каприлат, эфирное масло лаванды.
</t>
  </si>
  <si>
    <t>Применение: легкими массажными  движениями нанесите  крем  тонким слоем на чистую кожу лица.      </t>
  </si>
  <si>
    <t>https://disk.yandex.ru/d/NBIgkbi3-MQ2hg</t>
  </si>
  <si>
    <t>https://kleona.com/lico/kremy_dlya_litsa/dnevnoj-uvlazhnyayuwij-krem-dlya-zhirnoj-i-problemnoj-kozhi-s-matiruyuwim-effektom-i-spf-5/</t>
  </si>
  <si>
    <t>№ 4  Крем для лица День (увлажн., защита, мат. эффект), 50 мл</t>
  </si>
  <si>
    <t>флакон 50 мл стекло прозрачный / 18/415 дозатор кремовый белый / колпачок ТУ белый / коробка</t>
  </si>
  <si>
    <t>https://disk.yandex.ru/d/PGd8qDcIFVgQPw</t>
  </si>
  <si>
    <t>130*154*114</t>
  </si>
  <si>
    <t>№ 5  Крем для лица День/Ночь (бактерицидный), 30 мл</t>
  </si>
  <si>
    <t>свежий с нотами чайного дерева</t>
  </si>
  <si>
    <t>светло-зелёный</t>
  </si>
  <si>
    <t xml:space="preserve">Натуральный  крем  с  маслом чайного  дерева  и  хлорофиллом  для  очищения  и  восстановления  кожи,  склонной  к частым воспалениям, вызванным инфекцией, устойчивой к обычным антимикробным средствам  или  ослаблением местного  иммунитета.  Обладает мощной антибактериальной и противовирусной активностью, борется с бактериями на протяжении всего дня. Спо-
собствует заживлению воспалительных  элементов.  Улучшает  клеточное  дыхание. Повышает  защитные  свойства  кожи,  ее  способность  к саморегуляции  и  восстановлению. Эффективно питает и увлажняет кожу лица. Нормализует липосекрецию. </t>
  </si>
  <si>
    <t xml:space="preserve">Состав: вода  деионизированная,  стеарат  сахарозы, растительный  хлорофилл, масло календулы, масло карите, биосахаридная камедь, цетеариловый спирт, масло кокосовое, глицерин растительного  происхождения,  молочная кислота,  лактат  натрия,  бензиловый  спирт,  эфирное масло  чайного  дерева,  воск семян  дерева  ним  (Campo Neem  Wax),  токоферола ацетат (витамин Е), глицерил каприлат, масло клещевины, аллантоин,  ксантановая камедь, эфирное масло розы.
</t>
  </si>
  <si>
    <t>Применение: наносите вечером  равномерным  тонким слоем на хорошо очищенную кожу. Особое внимание уделяйте проблемным участкам кожи.</t>
  </si>
  <si>
    <t>https://disk.yandex.ru/d/3SRsFs4qafAJNA</t>
  </si>
  <si>
    <t>https://kleona.com/lico/kremy_dlya_litsa/krem-den-noch-dlya-zhirnoj-i-problemnoj-kozhi-s-chajnym-derevom-i-hlorofillom/</t>
  </si>
  <si>
    <r>
      <t>№ 5  Крем для лица День/Ночь (бактерицидный), 50 мл</t>
    </r>
    <r>
      <rPr>
        <b/>
        <sz val="10"/>
        <color indexed="10"/>
        <rFont val="Arial"/>
        <family val="2"/>
        <charset val="204"/>
      </rPr>
      <t xml:space="preserve">   </t>
    </r>
  </si>
  <si>
    <t>https://disk.yandex.ru/d/gjajNR5cdvEZYg</t>
  </si>
  <si>
    <t>№ 6  Крем для лица Ночь с фитостеринами (восстановл.), 30 мл</t>
  </si>
  <si>
    <t>натуральный крем для ухода за жирной проблемной кожей лица в период ремиссии. Содержит природные фитостерины, извлеченные из солодки и листа черной смородины, действие которых усилено растительными противовоспалительными компонентами из цветов календулы, травы багульника и семян дерева НИМ. Крем уменьшает застойные воспалительные процессы. Помогает нормализовать физиологические свойства кожи, стимулирует процесс регенерации. Оказывает рассасывающее действие, снижает вероятность образования рубцов и шрамов. Выравнивает рельеф кожи, улучшает цвет лица, способствует уменьшению пигментации.</t>
  </si>
  <si>
    <t>вода деионизированная, масло карите (Ши), рисовое масло, оливковое масло, стеариновая кислота, экстракт солодки, экстракт листа смородины, олеиновая кислота, цетеариловый спирт, воск семян дерева Ним (Campo Neem Wax), экстракт календулы, экстракт багульника, лактат натрия, комплекс омега-3 и омега-6 жирных кислот (витамин F), биосахаридная камедь, эфирное масло шалфея мускатного, масло клещевины, аллантоин, бензиловый спирт,  глицерилкаприлат, гуаровая камедь, токоферола ацетат (Витамин Е), ксантовая камедь, эфирное масло розы, коньяк маннан.</t>
  </si>
  <si>
    <t>Способ применения: наносите вечером равномерным тонким слоем на очищенную кожу. Особое внимание уделяйте проблемным участкам кожи.</t>
  </si>
  <si>
    <t>https://disk.yandex.ru/d/cxHZBqTCBmP3Wg</t>
  </si>
  <si>
    <t>https://kleona.com/lico/kremy_dlya_litsa/nochnoj-krem-dlya-zhirnoj-i-problemnoj-kozhi-s-fitosterinami/</t>
  </si>
  <si>
    <t>№ 6  Крем для лица Ночь с фитостеринами (восстановл.), 50 мл</t>
  </si>
  <si>
    <t>125*37*37</t>
  </si>
  <si>
    <t>флакон 60 мл ПЭТ белый / 20/410 дозатор кремовый белый / колпачок ТУ белый / коробка</t>
  </si>
  <si>
    <t>https://disk.yandex.ru/d/CJW1yKPg5GLNVw</t>
  </si>
  <si>
    <t>№ 7  Крем для лица Ночь с салицилатами (противовосп.), 30 мл</t>
  </si>
  <si>
    <t>натуральный крем для ухода за проблемной кожей лица в период обострения воспалений. Содержит природные противовоспалительные вещества – салицилаты, извлеченные из почек черного тополя, березы и сабельника. Оказывает бактерицидное действие, уменьшает высыпания на лице, вызванные бактериальной или стафилококковой инфекцией. Благодаря дубящим веществам из коры ивы и экстракту цветов календулы эффективно подсушивает прыщи (угревую сыпь), успокаивает раздраженную кожу. Улучшает кровообращение, выравнивает цвет лица, делает кожу более ровной и гладкой.</t>
  </si>
  <si>
    <t> вода деионизированная, масло карите (Ши), рисовое масло, оливковое масло, стеариновая кислота, экстракт почек черного тополя, экстракт почек березы, олеиновая кислота, цетеариловый спирт, экстракт календулы, экстракт коры ивы, экстракт сабельника, воск семян дерева Ним (Campo Neem Wax), сорбит, лактат натрия, комплекс комплекс омега-3 и омега-6 жирных кислот (витамин F), биосахаридная камедь, эфирное масло голубой ромашки, масло клещевины, бензиловый спирт, глицерилкаприлат, аллантоин, эфирное масло лаванды, гуаровая камедь, токоферола ацетат (Витамин Е), ксантовая камедь, коньяк маннан.</t>
  </si>
  <si>
    <t>Способ применения: наносите вечером равномерным тонким слоем на хорошо очищенную кожу. Особое внимание уделяйте проблемным участкам кожи.</t>
  </si>
  <si>
    <t>https://disk.yandex.ru/d/6V3c6wojaJ32VQ</t>
  </si>
  <si>
    <t>https://kleona.com/lico/kremy_dlya_litsa/nochnoj-krem-dlya-zhirnoj-i-problemnoj-kozhi-s-prirodnymi-salicilatami/</t>
  </si>
  <si>
    <t>№ 7  Крем для лица Ночь с салицилатами (противовосп.), 60 мл</t>
  </si>
  <si>
    <t>https://disk.yandex.ru/d/gG2RRlJZxdB5ZA</t>
  </si>
  <si>
    <t>№ 8  Тоник-баланс (повышение тонуса кожи), 150 мл</t>
  </si>
  <si>
    <t>ЕАЭС N RU Д-RU.РА09.В.43371/22</t>
  </si>
  <si>
    <t>https://disk.yandex.ru/d/Snkfcd2pjaFV2Q</t>
  </si>
  <si>
    <t>сладкий цветочный</t>
  </si>
  <si>
    <t>светло-желтый прозрачный</t>
  </si>
  <si>
    <t>147*42*42</t>
  </si>
  <si>
    <t xml:space="preserve">Действие: натуральный тоник с природными салицилатами, содержащимися в почках черного тополя и березы, биостимулятором – родиолой розовой и фруктовыми кислотами.  Мягко  доочищает  кожу  лица  от загрязнений, оказывает легкое разогревающее  действие,  ускоряет  обменные  процессы, повышает эффективность косметических средств, наносимых на кожу после тоника.  Оказывает  противовоспалительное,  бактерицидное  действие.  Устраняет покраснение  и  воспаление.  Выравнивает цвет и рельеф кожи. Придает лицу свежий, здоровый вид.
</t>
  </si>
  <si>
    <t xml:space="preserve">Состав:  вода  деионизированная,  экстракт почек  черного  тополя,  экстракт  почек березы повислой, экстракт родиолы розовой,  полиглицерил-4  капрат,  биосахаридная  камедь,  лаурат сахарозы,  глицерин растительного происхождения, белое виноградное вино, эфирное масло розы, ксантановая камедь, лактат натрия, лимонная кислота, молочная кислота, янтарная кислота, 
бензиловый спирт, бензойная кислота, сорбитан каприлат, каприлилгликоль.
</t>
  </si>
  <si>
    <t>Применение:  нанесите  тоник  на  ватный диск и протрите кожу лица и шеи. Легко похлопайте кончиками пальцев по лицу.</t>
  </si>
  <si>
    <t>https://disk.yandex.ru/d/M0RLxoV0epl2Ug</t>
  </si>
  <si>
    <t>https://kleona.com/lico/toniki-i-los-ony/tonik-dlya-zhirnoj-i-problemnoj-kozhi/</t>
  </si>
  <si>
    <t>№ 9  Биомаска для лица (очищает, сужает поры), 50 г     ДОЙ-ПАК</t>
  </si>
  <si>
    <t>травяной лавандовый</t>
  </si>
  <si>
    <t>кремовый с вкраплениями</t>
  </si>
  <si>
    <t>дой-пак серебристый</t>
  </si>
  <si>
    <t xml:space="preserve">Действие:  маска  для  лица  из  натуральных  ингредиентов. Хорошо абсорбирует кожный жир, улучшает дренаж, способствует выведению токсинов. Оказывает противовоспалительное действие, снимает раздражение и покраснение, улучшает цвет кожи лица. Прекрасно смягчает кожу, делает ее мягкой и бархатистой на ощупь. Выравнивает рельеф кожи. Оказывает легкий  лифтинг-эффект.  Улучшает  кожное  дыхание,  придает ощущение свежести. </t>
  </si>
  <si>
    <t xml:space="preserve">Состав:  овсяная  мука,  белая  глина  (каолин),  сухое  молоко, трава тысячелистника, трава хвоща, лист шалфея, цветки липы, 
цветки  календулы,  трава  чабреца,  голубая  глина,  пшеничная мука, бетаин, глюкоза, фруктоза, комплекс природных полисахаридов, эфирное масло лаванды, эфирное масло шалфея мускатного.
</t>
  </si>
  <si>
    <t>Способ применения: 1 - 2 ч. ложки маски залейте небольшим количеством  кипятка  в  пропорции  1 : 1,  накройте  крышкой и запаривайте 1 - 3 минуты. Теплую массу равномерно нанесите на чистую кожу лица, подержите 15 минут, затем смойте теплой водой. Используйте маску 1 - 2 раза в неделю.
Можете использовать маску как скраб. Перед смыванием смочите маску водой (гидролатом) и деликатно помассируйте кожу кончиками пальцев. Затем смойте маску теплой водой.
При обезвоженной коже рекомендуется после маски нанести увлажняющую сыворотку или крем.</t>
  </si>
  <si>
    <t>https://disk.yandex.ru/d/OetYC48ghR4EkA</t>
  </si>
  <si>
    <t>https://www.kleona.com/lico/maski-dlya-lica/maska-dlya-zhirnoj-i-problemnoj-kozhi/</t>
  </si>
  <si>
    <t>№ 9  Биомаска для лица (очищает, сужает поры), 50 г     БАНКА</t>
  </si>
  <si>
    <t>банка ПЭТ белая / запайка / крушка белая ПЛ</t>
  </si>
  <si>
    <t>https://disk.yandex.ru/d/dsS3UZ0HybkP7A</t>
  </si>
  <si>
    <t xml:space="preserve">№ 10 Мыло Дегтярное в коробке, 85 г </t>
  </si>
  <si>
    <t>https://disk.yandex.ru/d/jQA5Nk3BrMoLLA</t>
  </si>
  <si>
    <t xml:space="preserve">№ 11  Сыворотка для лица день/ночь с КОРОЙ ДУБА   (себорегулирующая, матирующая, успокаивающая), 25 мл  </t>
  </si>
  <si>
    <t>https://disk.yandex.ru/i/X_MCnpiYH8UqNw</t>
  </si>
  <si>
    <t>терпкий</t>
  </si>
  <si>
    <t xml:space="preserve">Нежирное средство для ежедневного ухода. Хорошо увлажняет кожу лица, освежает и обеспечивает комфорт. Легко наносится и быстро впитывается, не вызывает ощущения жирности и липкости. Придает коже матовость и бархатистость. Смягчает и успокаивает кожу, уменьшает раздражение. При регулярном применении способствует уменьшению угревой сыпи и обеспечивает профилактику появления новых воспалительных элементов, нормализует  выработку  себума.  Оказывает  антиоксидантное  действие,  улучшает  цвет лица. Для дневного и/или вечернего ухода.
</t>
  </si>
  <si>
    <t xml:space="preserve">Состав:  вода  деионизированная,  экстракт  коры  дуба,  экстракт  корня  аира,  экстракт шалфея  лекарственного,  экстракт  крапивы  двудомной,  пшеничный  эмульгатор,  масло 
рисовых отрубей, экстракт алоэ вера, бензиловый спирт, гиалуроновая кислота, эфирное масло чайного дерева, эфирное масло шалфея мускатного, эфирное масло лаванды, глицерил каприлат, эфирное масло индийской мяты, аллантоин. </t>
  </si>
  <si>
    <t xml:space="preserve">Для дневного и/или вечернего ухода. 
Применение:  интенсивно  встряхнуть  флакон  до  полной  однородности содержимого. Нанести небольшое количество сыворотки на сухую или 
увлажненную  кожу  лица,  избегая  области  вокруг  глаз.  Подождать  1-2 минуты до полного впитывания. В холодное время года рекомендуется наносить сыворотку под уходовый крем.  </t>
  </si>
  <si>
    <t>https://disk.yandex.ru/d/9kFkOxL56YK35Q</t>
  </si>
  <si>
    <t>https://kleona.com/lico/syvorotki/cyvorotka-dlya-problemnoj-kozhi-s-ekstraktom-kory-duba/</t>
  </si>
  <si>
    <r>
      <t xml:space="preserve">№ 12  Сыворотка для лица день/ночь с БЕТУЛИНОМ (противовоспалительная), 25 мл  </t>
    </r>
    <r>
      <rPr>
        <b/>
        <sz val="10"/>
        <color indexed="10"/>
        <rFont val="Arial"/>
        <family val="2"/>
        <charset val="204"/>
      </rPr>
      <t xml:space="preserve"> </t>
    </r>
  </si>
  <si>
    <t>https://disk.yandex.ru/i/teQj90w15f9T1w</t>
  </si>
  <si>
    <t>молочно-коричневый</t>
  </si>
  <si>
    <t>флакон 30 мл стеклокоричневый / 18/415 пипетка белая / колпачок ТУ белый (прозрачный)</t>
  </si>
  <si>
    <t xml:space="preserve">Сыворотка помогает очистить кожу от воспалительных элементов, подсушивает прыщики, способствует быстрому отшелушиванию корочек. Ускоряет регенерацию и заживление, смягчает  и  успокаивает  кожу,  снимает  раздражение  и  покраснение.  Нормализует деятельность  сальных  желез,  уменьшает  жирный  блеск  и  придает  коже  матовость. Оказывает  детокс-эффект,  выравнивает  и  осветляет  цвет  лица.  Длительно  сохраняет увлажненность кожи, избавляет от шелушения. Питает кожу, делает ее нежной, упругой, бархатистой. Для дневного и/или вечернего ухода. </t>
  </si>
  <si>
    <t xml:space="preserve">Состав:  вода деионизированная, экстракт коры дуба, экстракт зверобоя, масло календулы, пшеничный эмульгатор, экстракт коры березы (бетулин), ксантановая камедь, бензиловый 
спирт, эфирное масло чайного дерева, глицерил каприлат, эфирное масло розы, бисаболол, эфирное масло индийской мяты. </t>
  </si>
  <si>
    <t>Применение:  интенсивно  встряхнуть  флакон  до  полной  однородности 
содержимого.  Нанести  небольшое  количество  сыворотки  на  сухую  или увлажненную  кожу  лица,  избегая  области  вокруг  глаз.  Подождать  1-2 минуты до полного впитывания. В холодное время года рекомендуется наносить сыворотку под уходовый крем.</t>
  </si>
  <si>
    <t>https://disk.yandex.ru/d/JM490TafW-5DJA</t>
  </si>
  <si>
    <t>https://kleona.com/lico/syvorotki/cyvorotka-dlya-problemnoj-kozhi-s-s-betulinom/</t>
  </si>
  <si>
    <t xml:space="preserve">№ 13  Гель для душа с маслом чайного дерева, 200 мл  </t>
  </si>
  <si>
    <t>https://disk.yandex.ru/i/DFtqkSpJkWbEhA</t>
  </si>
  <si>
    <t>флакон белый 200 мл 24/410/помпадозирующая 24/410/ колпачок термоусадочный прозрачный</t>
  </si>
  <si>
    <t>этикетки</t>
  </si>
  <si>
    <t xml:space="preserve">№ 14  Лосьон очищающий, охлаждающий,  60 мл  </t>
  </si>
  <si>
    <t>пряный</t>
  </si>
  <si>
    <t>коричневый прозрачный</t>
  </si>
  <si>
    <t xml:space="preserve">Действие: лосьон для жирной и проблемной кожи. Эффективно удаляет загрязнения, освежает и дезинфицирует. Подсушивает воспаления, устраняет покраснения, кожа лица становится более спокойной, гладкой, матовой уже после нескольких применений. Глубоко очищает поры, сужает их. Нормализует  деятельность  сальных  желез.  Ускоряет обновление кожи. Хорошо подходит для протирания  кожи  в  летний  период,  оставляет  ощущение чистоты и прохлады на лице. Способствует уменьшению  воспаления  и  зуда  после  микротравм и укусов насекомых. 
</t>
  </si>
  <si>
    <t xml:space="preserve">Состав: вода деионизированная, настойка гвоздики, глицерин растительного происхождения, бензиловый  спирт,  лимонная  кислота,  камфорный спирт,  экстракт  календулы,  экстракт  ромашки, 
экстракт  тысячелистника,  эфирное  масло  индийской  мяты,  эфирное  масло  эвкалипта,  эфирное масло апельсина, эфирное масло гвоздики.
</t>
  </si>
  <si>
    <t xml:space="preserve">Применение: очистить кожу от макияжа привычным  способом.  Смочить  ватный  диск  лосьоном и протереть лицо. Использовать 3-4 раза в неделю. В период высыпаний рекомендуется ежедневное применение. Для подсушивания небольших воспалений нанести лосьон на ватный диск и приложить к  воспаленному  участку  на  20-30  секунд.  После лосьона нанести крем или сыворотку. Не использовать в зоне вокруг глаз, для снятия макияжа и перед длительным нахождением на солнце.
Лосьон при использовании может вызвать такие ощущения как: пощипывание, покраснение, ощущение разогрева кожи. 
Это естественная реакция кожи на компоненты лосьона. Ощущения могут продлиться до часа в зависимости от индивидуальных особенностей кожи.
Лосьон нельзя использовать: в зоне вокруг глаз, для снятия 
макияжа и перед длительным нахождением на солнце.
Не рекомендуется:
- при повышенной чувствительности кожи
- при куперозе
- во время беременности
</t>
  </si>
  <si>
    <t>https://disk.yandex.ru/d/Mh0KREb_kpXulw</t>
  </si>
  <si>
    <t>https://kleona.com/lico/toniki-i-los-ony/ochiwayuwij-i-ohlazhdayuwij-los-on-dlya-zhirnoj-i-problemnoj-kozhi/</t>
  </si>
  <si>
    <t xml:space="preserve">№ 14  Лосьон очищающий, охлаждающий,  150 мл  </t>
  </si>
  <si>
    <t>167*52*34</t>
  </si>
  <si>
    <t>флакон 150 мл ПЭТ белый / пенообразовтель натуральный / защитный колпачок прозрачный</t>
  </si>
  <si>
    <t>https://disk.yandex.ru/d/8fpT6OgAyQgEKA</t>
  </si>
  <si>
    <t xml:space="preserve">№ 15  Пенка для умывания, бактерицидная, 150 мл   </t>
  </si>
  <si>
    <t>травяной цветочный</t>
  </si>
  <si>
    <t>светло-коричневый прозрачный</t>
  </si>
  <si>
    <t xml:space="preserve">Действие: нежное натуральное средство эффективно удаляет любые загрязнения и макияж с поверхности  кожи.  Содержит  бактерицидный  комплекс лекарственных  трав,  который  уменьшает  воспалительные элементы на лице и предупреждает образование  новых.  Осветляет  и  очищает  комедоны, нормализует выработку кожного секрета. Не сушит, не стягивает кожу, оказывает на неё   успокаивающее и смягчающее действие. Слабокислый рН пенки повышает защитные свойства кожи. Мягкая силиконовая щетка легко снимает макияж, массирует лицо, способствует очищению пор, делает кожу нежной и гладкой.
</t>
  </si>
  <si>
    <t xml:space="preserve">Состав: вода деионизированная, экстракт мукуросси, экстракт листьев ежевики, экстракт лакричника, экстракт люцерны, экстракт кипрея, лаурилсульфоацетат натрия, глюконолактон, децилглюкозид, D-пантенол, динатрия кокоамфодиацетат, глицерин растительный,  молочная  кислота,  экстракт  жимолости японской,  эфирное  масло  петитгрейна,  кококаприлат,  экстракт  окопника  (содержит  аллантоин), экстракт ромашки (содержит бисаболол). 
</t>
  </si>
  <si>
    <t>Применение:  для  очищения  лица  достаточно  двух 
кликов.  Нанесите  пенку  на  влажную  кожу  и  слегка 
помассируйте по массажным линиям, уделяя особое 
внимание проблемным зонам, избегая области вокруг 
глаз, затем тщательно смойте теплой водой. В случае 
необходимости  повторите  процедуру.  После  смыва-
ния  пенки  протрите  кожу  лосьоном  или  тоником  и 
нанесите ухаживающее средство.</t>
  </si>
  <si>
    <t>https://disk.yandex.ru/d/gwVeSreCLoFdyg</t>
  </si>
  <si>
    <t>https://www.kleona.com/lico/dlya-umyvaniya-i-udaleniya-makiyazha/penka-dlya-umyvaniya-15-dlya-zhirnoj-i-kombinirovannoj-kozhi/</t>
  </si>
  <si>
    <r>
      <t xml:space="preserve">№ 15  Пенка для умывания, бактерицидная, </t>
    </r>
    <r>
      <rPr>
        <b/>
        <sz val="12"/>
        <color rgb="FFFF0000"/>
        <rFont val="Arial"/>
        <family val="2"/>
        <charset val="204"/>
      </rPr>
      <t>с массажной щеткой</t>
    </r>
    <r>
      <rPr>
        <b/>
        <sz val="10"/>
        <rFont val="Arial"/>
        <family val="2"/>
        <charset val="204"/>
      </rPr>
      <t xml:space="preserve">, 150 мл </t>
    </r>
    <r>
      <rPr>
        <b/>
        <sz val="10"/>
        <color rgb="FFFF0000"/>
        <rFont val="Arial"/>
        <family val="2"/>
        <charset val="204"/>
      </rPr>
      <t xml:space="preserve"> </t>
    </r>
  </si>
  <si>
    <t>флакон 150 мл ПЭТ белый / пенообразовтель натуральный с щеточкой / защитный колпачок</t>
  </si>
  <si>
    <t xml:space="preserve">Применение:  нажмите  на  помпу  до  появления обильной  пены,  силиконовой  щеточкой  нанесите пенку на влажную кожу и слегка помассируйте по массажным  линиям,  уделяя  особое  внимание проблемным  зонам,  избегая  области  вокруг  глаз, затем тщательно смойте теплой водой. После смывания пенки протрите кожу лосьоном или тоником и нанесите ухаживающее средство. Не применять для зоны вокруг глаз! </t>
  </si>
  <si>
    <t>https://disk.yandex.ru/d/AdE9z_lRem4PFQ</t>
  </si>
  <si>
    <t>https://www.kleona.com/lico/dlya-umyvaniya-i-udaleniya-makiyazha/penka-dlya-umyvaniya-15-dlya-zhirnoj-i-kombinirovannoj-kozhi-s-massazhnoj-shetochkoj/</t>
  </si>
  <si>
    <r>
      <t xml:space="preserve">СОЛНЦЕЗАЩИТНАЯ серия / UVB/UVA protection   </t>
    </r>
    <r>
      <rPr>
        <b/>
        <sz val="10"/>
        <color indexed="10"/>
        <rFont val="Arial"/>
        <family val="2"/>
        <charset val="204"/>
      </rPr>
      <t xml:space="preserve">  </t>
    </r>
  </si>
  <si>
    <r>
      <t>7.2  Солнцезащитный крем-флюид для лица SPF 30, 20 мл</t>
    </r>
    <r>
      <rPr>
        <b/>
        <sz val="10"/>
        <color rgb="FFFF0000"/>
        <rFont val="Arial"/>
        <family val="2"/>
        <charset val="204"/>
      </rPr>
      <t xml:space="preserve"> </t>
    </r>
  </si>
  <si>
    <t>20 мл</t>
  </si>
  <si>
    <t>ЕАЭС N RU Д-RU.РА05.В.33872/23</t>
  </si>
  <si>
    <t>https://disk.yandex.ru/i/ypb_VsaPPBTmJA</t>
  </si>
  <si>
    <t>практически осутствует</t>
  </si>
  <si>
    <t>желтоватый</t>
  </si>
  <si>
    <t>флакон 20 мл стекло коричневый/дозатор 18/415 кремовый черный с колпачком</t>
  </si>
  <si>
    <t>коробка картонная 117*34*34 / вкладыш</t>
  </si>
  <si>
    <t>Солнцезащитный  крем-флюид на основе УФ-фильтров последнего  поколения  фирмы  BASF, обладающих высокой эффективностью, безопасностью и отвечающих требованиям Европейской 
комиссии  по  УФ-защите.  Защищает кожу от солнечных ожогов, появления  пигментных  пятен и фотостарения во время летнего отдыха в странах со средней солнечной активностью, а также 
при  длительном  нахождении на открытом солнце. Благодаря легкой текстуре хорошо наносится и быстро впитывается. Увлажняющие и смягчающие добавки придают коже нежность и бархатистость.</t>
  </si>
  <si>
    <t>Состав: вода деионизированная, УФ-фильтры* (28%), D-пантенол, триглицериды каприловой/каприновой  кислоты,  цетеариловый спирт,  полиглицерин-3,  глюкозиды  жирных  кислот,  сорбитан 
каприлат, глицерин растительного происхождения, масло карите, сквалан,  бензиловый  спирт, бензойная  кислота,  натриевая соль пироглутаминовой кислоты, бисаболол,  токоферола  ацетат 
(витамин Е), гиалуроновая кислота,  аллантоин,  экстракт  алоэ вера, ксантановая камедь.
*использованные УФ-фильтры: этилгексилметоксициннамат (EHMC), диэтиламиногидроксибензоилгексилбензоат (DHHB), этилгексилтриазон (EHT), бис-этилгексилоксифенолметоксифенилтриазин (BEМT)</t>
  </si>
  <si>
    <t>Применение:  наносить за 30 мин. до выхода на солнце поверх дневного  уходового средства  или  на чистую кожу. На одно применение (для лица и зоны декольте) используйте  3  клика. Макияж  наносить через  15  минут  после  солнцезащитного  крема-флюида.  После купания, интенсивного потоотделения  или  2-х  часов  непрерывного пребывания  на  солнце  умойтесь чистой водой и нанесите средство повторно  (требование  Всемирной Организации  Здравоохранения). 
Не  используйте  крем  для  зоны вокруг глаз
Противопоказания: аллергические реакции на компоненты крем-флюида.</t>
  </si>
  <si>
    <t>https://disk.yandex.ru/d/hOLgzm85TML-dA</t>
  </si>
  <si>
    <t>https://kleona.com/lico/solncezawitnaya-kosmetika/solncezawitnyj-krem-flyuid-spf51/</t>
  </si>
  <si>
    <t>7.3  Солнцезащитный крем-флюид для лица SPF 50, 20 мл</t>
  </si>
  <si>
    <t>https://disk.yandex.ru/i/XDQ-q5SNor2EMA</t>
  </si>
  <si>
    <t xml:space="preserve">Солнцезащитный  крем-флюид на основе УФ-фильтров последнего  поколения  фирмы  BASF, обладающих высокой эффективностью, безопасностью и отвечающих требованиям Европейской 
комиссии  по  УФ-защите.  Защищает кожу от солнечных ожогов, появления  пигментных  пятен и фотостарения во время летнего отдыха в странах с повышенной  солнечной  активностью,
а также при длительном нахождении на интенсивном открытом солнце. Благодаря легкой текстуре  хорошо  наносится  и  быстро впитывается.  Длительно  увлажняет кожу. </t>
  </si>
  <si>
    <t>Состав: вода деионизированная, УФ-фильтры* (50%), D-пантенол, триглицериды каприловой/каприновой  кислоты, цетеариловый спирт, полиглицерин-3, глюкозиды  жирных  кислот, сорбитан 
каприлат, глицерин растительного происхождения, масло карите, сквалан, бензиловый спирт, бензойная  кислота, натриевая соль пироглутаминовой кислоты, бисаболол,  токоферола  ацетат 
(витамин Е), гиалуроновая кислота,  аллантоин, экстракт алоэ вера, ксантановая камедь.
*  использованные  УФ-фильтры: этилгексилметоксициннамат (EHMC),  диэтиламиногидроксибензоилгексилбензоат  (DHHB), этилгексилтриазон  (EHT),  бис-этилгексилоксифенолметоксифенилтриазин (BEМT).</t>
  </si>
  <si>
    <t xml:space="preserve">Применение: наносить за 30 мин. до выхода на солнце поверх дневного  уходового  средства  или  на чистую кожу. На одно применение (для лица и зоны декольте) используйте  3  клика.  Макияж  наносить через  15  минут  после  солнцезащитного  крема-флюида. После купания, интенсивного потоотделения  или  2-х  часов  непрерывного пребывания  на  солнце  умойтесь чистой водой и нанесите средство повторно  (требование  Всемирной Организации  Здравоохранения). Не  используйте  крем  для  зоны вокруг глаз.
</t>
  </si>
  <si>
    <t>https://disk.yandex.ru/d/ZxKpKHVnt37xPQ</t>
  </si>
  <si>
    <t>https://kleona.com/lico/solncezawitnaya-kosmetika/solncezawitnyj-krem-flyuid-spf52/</t>
  </si>
  <si>
    <t xml:space="preserve">7.4  Солнцезащитный крем для лица SPF 30, 30 мл  </t>
  </si>
  <si>
    <t>https://disk.yandex.ru/i/SI4obhqc-CiY2w</t>
  </si>
  <si>
    <t>Туба белая 30 мл / бушон белый</t>
  </si>
  <si>
    <t>Натуральный солнцезащитный крем на основе 100% физического фильтра (оксида цинка). Защищает кожу от солнечных ожогов, появления пигментных пятен и фотостарения во время летнего отдыха в странах со средней солнечной активностью, а также при длительном нахождении на открытом солнце. Мало заметен на лице. Совместим со средствами основного ухода и декоративной косметикой.</t>
  </si>
  <si>
    <t>Состав: вода, УФ-фильтр: оксид цинка (22 мас.%), триглицериды каприловой/каприновой кислот, масло ши, масло кокоса, стеарат сахарозы, масло оливковое, масло календулы, биосахаридная камедь, цетеариловый спирт, глюкозиды жирных кислот, масло рисовых отрубей, D-пантенол, сорбитанкаприлат, глицерилолеат, растительный глицерин, бензиловый спирт, экстракт японской жимолости, пчелиный воск, токоферола ацетат (витамин Е), канделильский воск, лимонная кислота, аллантоин, ксантановая камедь, бисаболол.</t>
  </si>
  <si>
    <t>Применение: крем наносить за 30 минут до выхода на солнце поверх дневного уходового средства или на слегка увлажненную кожу. На одно применение (для лица и зоны декольте) необходимо 0,5-1 мл крема. Макияж наносить через 15 минут после нанесения солнцезащитного крема. После купания, интенсивного потоотделения или 2-х часов непрерывного пребывания на солнце умойтесь чистой водой и нанесите средство повторно (требование Всемирной Организации Здравоохранения). 
Не использовать для зоны вокруг глаз.
Перед первым применением крема провести тест на чувствительность кожи.</t>
  </si>
  <si>
    <t>https://disk.yandex.ru/d/Xn3hhVqCT92bxA</t>
  </si>
  <si>
    <t>https://kleona.com/lico/solncezawitnaya-kosmetika/solncezashchitnyj_krem_dlya_lica_spf30/</t>
  </si>
  <si>
    <t xml:space="preserve">7.5  Солнцезащитный крем для лица SPF 50, 30 мл  </t>
  </si>
  <si>
    <t>https://disk.yandex.ru/i/Yp9KgNDEOofS2A</t>
  </si>
  <si>
    <t>Натуральный солнцезащитный крем на основе физического фильтра (оксида цинка) с добавлением синтетического фильтра последнего поколения фирмы BASF, обладающего высокой безопасностью для кожи. Защищает кожу от солнечных ожогов, появления пигментных пятен и фотостарения во время летнего отдыха в странах с повышенной солнечной активностью, занятий зимними видами спорта и в других случаях длительного нахождения на интенсивном открытом солнце. Мало заметен на лице. Совместим со средствами основного ухода и декоративной косметикой.</t>
  </si>
  <si>
    <t>Состав: вода, УФ-фильтры: оксид цинка (25 мас.%) и метилен-бис-бензотриазолилтетраметилбутилфенол (MBBT), триглицериды каприловой/каприновой кислот, масло ши, масло кокоса, стеарат сахарозы, масло оливковое, масло календулы, биосахаридная камедь, цетеариловый спирт, глюкозиды жирных кислот, масло рисовых отрубей, D-пантенол, сорбитанкаприлат, глицерилолеат, растительный глицерин, бензиловый спирт, экстракт японской жимолости, пчелиный воск, токоферола ацетат (витамин Е), канделильский воск, лимонная кислота, аллантоин, ксантановая камедь, бисаболол.</t>
  </si>
  <si>
    <t>Применение: крем наносить за 30 минут до выхода на солнце поверх дневного уходового средства. На одно применение (для лица и зоны декольте) необходимо 0,5-1 мл крема. Макияж наносить через 15 минут после нанесения солнцезащитного крема. После купания, интенсивного потоотделения или 2-х часов непрерывного пребывания на солнце умойтесь чистой водой и нанесите средство повторно (требование Всемирной Организации Здравоохранения).
Не использовать для зоны вокруг глаз.
Перед первым применением крема провести тест на чувствительность кожи.</t>
  </si>
  <si>
    <t>https://disk.yandex.ru/d/3bwvcujX44GBHQ</t>
  </si>
  <si>
    <t>https://kleona.com/lico/solncezawitnaya-kosmetika/solncezashchitnyj_krem_dlya_lica_spf50/</t>
  </si>
  <si>
    <t xml:space="preserve">7.8  Солнцезащитное молочко для тела SPF 50, 150 мл  </t>
  </si>
  <si>
    <t>ТС N RU Д-RU.НА88.В.18006/19</t>
  </si>
  <si>
    <t>https://disk.yandex.ru/d/3aUKVRNKdr6Ahg</t>
  </si>
  <si>
    <t>137*52*34</t>
  </si>
  <si>
    <t>Флакон 150 мл ПЭТ белый П / флип-топ 20/410 белый / ТУ колпачок</t>
  </si>
  <si>
    <t xml:space="preserve">Легкое молочко на основе УФ-фильтров последнего поколения фирмы BASF. Обладает высокой эффективностью, безопасностью и отвечает требованиям Европейской комиссии по УФ-защите. Защищает кожу от солнечных ожогов, предупреждает появление пигментных пятен во время летнего отдыха в странах со средней и высокой солнечной активностью, а также при длительном нахождении на открытом солнце. Благодаря легкой текстуре равномерно наносится на кожу, быстро впитывается, не вызывает липкости.  </t>
  </si>
  <si>
    <t>Вода, УФ-фильтры* (45%), кокосовое масло, D-пантенол, растительный глицерин, глюкозиды жирных кислот, цетеариловый спирт, масло жожоба, стеарат сахарозы,  триглицериды каприловой/каприновой кислот, масло клещевины, сорбитанкаприлат, бензиловый спирт, токоферола ацетат (Витамин Е), гиалуроновая кислота, аллантоин, ксантановая камедь.
* использованные УФ-фильтры: этилгексилметоксициннамат (EHMC), диэтиламиногидроксибензоилгексилбензоат (DHHB), этилгексилтриазон (EHT), бис-этилгексилоксифенолметоксифенилтриазин (BEМT)</t>
  </si>
  <si>
    <t>Равномерно и обильно нанесите молочко на кожу. Дайте ему впитаться. Не допускайте попадания в глаза и на слизистые оболочки.  Повторяйте нанесение молочка после купания, интенсивного потоотделения, вытирания полотенцем или через каждые 2 часа непрерывного пребывания на солнце (требование Всемирной Организации Здравоохранения). 
Наносить на чистую кожу за 20 минут до выхода на открытое солнце.
Перед применением несколько раз интенсивно встряхнуть флакон.
Нанесение недостаточного количества молочка снижает её защитные свойства. 
Противопоказания: аллергические реакции на компоненты крема.</t>
  </si>
  <si>
    <t>https://disk.yandex.ru/d/t8TuS2oN52hgEQ</t>
  </si>
  <si>
    <t>https://kleona.com/telo/solncezashchitnye_sredstva/solncezashchitnoe_molochko_dlya_tela_spf_50/</t>
  </si>
  <si>
    <r>
      <t xml:space="preserve">Масло Вечернее арома-уход, 100 мл   </t>
    </r>
    <r>
      <rPr>
        <b/>
        <sz val="10"/>
        <color rgb="FFFF0000"/>
        <rFont val="Arial"/>
        <family val="2"/>
        <charset val="204"/>
      </rPr>
      <t xml:space="preserve"> НОВЫЙ ДИЗАЙН</t>
    </r>
  </si>
  <si>
    <r>
      <t xml:space="preserve">Пляжные какао-сливки, 100 мл    </t>
    </r>
    <r>
      <rPr>
        <b/>
        <sz val="10"/>
        <color rgb="FFFF0000"/>
        <rFont val="Arial"/>
        <family val="2"/>
        <charset val="204"/>
      </rPr>
      <t xml:space="preserve"> НОВЫЙ ДИЗАЙН</t>
    </r>
  </si>
  <si>
    <t>ЕАЭС N RU Д-RU.РА05.В.33823/23</t>
  </si>
  <si>
    <t>https://disk.yandex.ru/i/tVAjSBV-4FuRDg</t>
  </si>
  <si>
    <t>Серия "МОНАСТЫРСКИЙ СБОР"</t>
  </si>
  <si>
    <t>Крем «Монастырский» для лица питающий, увлажняющий с маслом герани, 50 мл</t>
  </si>
  <si>
    <t>112*Ø33</t>
  </si>
  <si>
    <t>Крем длительного действия для всех типов кожи. Предоставляет все необходимое для ухода за здоровой кожей: глубоко увлажняет, снабжает кожу незаменимыми полиненасыщенными жирными кислотами, стимулирует регенерацию клеток, оказывает противовоспалительное и антиоксидантное действие, защищает барьерный слой кожи от повреждений. Быстро впитывается, не оставляя жирного блеска.</t>
  </si>
  <si>
    <t>вода, масло ши, масло манго, масло авокадо, пальмовое масло, касторовое масло, цетеариловый спирт, пчелиный воск, сквалан, масло Жожоба, регуляторы кислотности: гидроксид калия и молочная кислота, масляный экстракт ванили, эфирное масло герани, эфирное масло шалфея мускатного, комплекс ненасыщенных (омега-3, омега-6) жирных кислот (витамин F), бензиловый спирт, глицерилкаприлат, токоферола ацетат (витамин Е), эфирное масло розы, камедь из семян Cyamopsis tetragonoloba, ксантановая камедь.</t>
  </si>
  <si>
    <t>https://disk.yandex.ru/d/kATtkfQDlZ3K-Q</t>
  </si>
  <si>
    <t>https://kleona.com/lico/kremy_dlya_litsa/krem-dlya-lica-monastyrskij/</t>
  </si>
  <si>
    <t>Крем «Монастырский» для рук с маслом лаванды, 100 мл</t>
  </si>
  <si>
    <t>151*Ø37</t>
  </si>
  <si>
    <t>Натуральный «Крем для рук». Изготовлен из смеси высококачественных растительных масел, родниковой воды, обогащен натуральным медом, пчелиным воском, маслом жожоба, эфирными маслами лаванды и розмарина. Не содержит синтетических красителей и отдушек.
Дает хорошее, длительное увлажнение. Придает коже мягкость и шелковистость. Хорошо заживляет поврежденную кожу рук. Пригоден для ухода за чувствительной кожей, склонной к аллергии и реагирующей на синтетические косметические средства.
Природные компоненты крема быстро проникают в кожу, снабжают клетки полиненасыщенными жирными кислотами, сахарами, микроэлементами. Лаванда устраняет раздражение, покраснение, шелушение кожи. Розмарин тонизирует кожу, делает ее молодой и упругой, предохраняет кожу от образования морщин.</t>
  </si>
  <si>
    <t>вода, масло рисовое, масло пальмо-
вое, масло оливковое, масло какао, цетеари-
ловый спирт, масло жожоба, лимонная кислота,
натуральный пчелиный мед, ксантановая ка-
медь, пчелиный воск, эфирное масло лаванды,
эфирное масло розмарина, глицерил каприлат,
витамин Е, витамин А.</t>
  </si>
  <si>
    <t>Способ применения: нанесите крем на тыльную сторону руки. Распределите его по всей длине пальцев. Помассируйте каждый палец, включая ногтевую пластину и кутикулу. Лёгкий массаж не только ускорит впитывание крема, но и улучшит циркуляцию крови в руках. Плавными поглаживающими движениями от ногтей вверх к запястью распределите крем по всей руке. Излишки крема удалите бумажной салфеткой.
Для повышения эффективности процедуры перед нанесением крема сделайте тёплую ванночку для рук с травами или морской солью.
Применяйте крем 1-2 раза в день.
Ограничения по применению: повышенная чувствительность кожи или аллергические реакции на компоненты крема.
Дополнительная информация: храните крем в прохладном месте вдали от прямого солнечного света. В летнее время рекомендуется хранить крем в холодильнике.</t>
  </si>
  <si>
    <t>https://disk.yandex.ru/d/AmqyDoAgc0k68g</t>
  </si>
  <si>
    <t>https://kleona.com/telo/kremy_dlya_ruk/krem-dlya-ruk-monastyrskij/</t>
  </si>
  <si>
    <t>Бальзам № 1   На травах, 50 мл</t>
  </si>
  <si>
    <t>ЕАЭС N RU Д-RU.ЗЭ01.В.00644/19</t>
  </si>
  <si>
    <t>https://disk.yandex.ru/d/My3gcg0C_7msTQ</t>
  </si>
  <si>
    <t>67*67*42</t>
  </si>
  <si>
    <t>Как косметическое средство, бальзам «На травах» предназначен для ежедневного ухода за сухой, раздраженной и увядающей кожей лица и тела. Растительные масла в сочетании с пчелиным воском и лецитином смягчают кожу, возвращают ей естественную увлажненность, делают кожу мягкой, гладкой, шелковистой. Экстракты лечебных трав успокаивают чувствительную, раздраженную кожу, устраняют покраснение, воспаление, снимают болезненные ощущения и зуд.
Как лечебно-косметическое средство бальзам «На травах» прекрасно оздоравливает кожу, пострадавшую от воздействия неблагоприятных природных и техногенных факторов. Устраняет сухость кожи при обветривании ее сухим летним или морозным воздухом. Быстро восстанавливает обводненность кожи и ее жировой баланс после контакта кожи с моющими средствами, с бытовой и промышленной химией. Ускоряет заживление раздражений, царапин, ожогов (в том числе – солнечных), потертостей.
Как профилактическое средство бальзам «На травах» рекомендуется для превентивной защиты кожи от обезжиривающих и обезвоживающих факторов. В этом качестве бальзам представляет несомненный интерес для медицинского персонала, парикмахеров и представителей иных профессий, чья деятельность связана с частым контактом кожи рук с водой и моющими средствами. Достаточно двукратного нанесения бальзама на кожу рук, в начале трудового дня и после обеденного перерыва, чтобы избежать профессиональных заболеваний кожи рук. В быту «Бальзам на травах» также окажется незаменимым помощником. Летом защитит кожу от иссушающего солнца и солнечных ожогов, зимой - от ципок на руках и обветривания кожи морозным воздухом.</t>
  </si>
  <si>
    <t>Состав: масло Ши, масло манго, оливковое масло, пчелиный воск, экстракт цветов календулы (Caléndula), экстракт цветов ромашки лекарственной (Matricária recutíta), экстракт череды трёхраздельной (Bídens tripartíta), пальмовое масло, вода, сорбитол, экстракт лаванды аптечной (Lavandula officinalis), сорбита оливат, цетеариловый спирт, глицерил каприлат, D-пантенол, лецитин, олеиновая кислота, эфирное масло лаванды (Lavandula officinalis), линолевая (омега-6) кислота, аллантоин, токоферола ацетат (витамин Е), эфирное масло нероли (Citrus bigaradia), молочная кислота, янтарная кислота.</t>
  </si>
  <si>
    <t>Применение: небольшое количество бальзама легкими массирующими движениями втереть в кожу. Для получения более интенсивного целительного эффекта – нанести бальзам на кожу с небольшим избытком, через 15-20 минут, избыток бальзама удалить сухой бумажной салфеткой. Как правило достаточно наносить бальзам 2 раза в сутки, утром и вечером, перед выходом на улицу или началом работ. Эффект достигается при регулярном применении.
Бальзам не вызывает побочных явлений и привыкания даже при длительном применении.
Внимание: перед первым применением бальзама нанесите небольшое его количество на тыльную сторону руки и убедитесь, что отсутствует аллергическая реакция на компоненты бальзама.
Противопоказания: не наносить бальзам на открытые раны и на поврежденную кожу. Не использовать при наличии аллергических реакций на череду, ромашку или календулу.
Хранение: бальзам является натуральным продуктом, в связи с чем хранить его необходимо плотно закрытым в темном прохладном месте. Не нагревать бальзам выше 250С. Избегать попадания на баночку с бальзамом прямого солнечного света. При перерывах в применении для максимального сохранения целительных свойств бальзама хранить его в холодильнике при +40С.
Бальзам «На травах» не является лекарственным средством.</t>
  </si>
  <si>
    <t>https://disk.yandex.ru/d/gXummKwNVhMGTw</t>
  </si>
  <si>
    <t>https://kleona.com/domashnyaya-apteka/bal-zamy-dlya-ruk-i-tela/bal-zam-1-na-travah-ot-suhosti-kozhi-vrozhdennoj-i-priobretennoj/</t>
  </si>
  <si>
    <t>87*137*204</t>
  </si>
  <si>
    <t>Бальзам № 2   Чага, 50 мл</t>
  </si>
  <si>
    <t>Клинический эффект от применения бальзама достигается за счет включения в его состав экстракта чаги и комплекса полиненасыщенных жирных природных кислот (витамина F). При наружном применении бальзам оказывает противовоспалительное, обезболивающее и заживляющее действие. Стимулирует ферментные системы в клетках кожи, ускоряет обмен веществ, улучшает регенерацию тканей. Повышает сопротивляемость кожи, активизирует естественные защитные механизмы организма. Приостанавливает процессы старения кожи и перерождения тканей. Замедляет образование морщин. Повышаеттонус сосудов, снижает риск разрыва мелких капилляров и образования сосудистой сеточки. Восстановливает водно-жировой баланс кожи. Увеличивает ее эластичность.
Как косметическое средство бальзам “Чага» рекомендуется для ухода за проблемной, возрастной и увядающей кожей.
Как лечебно-косметическое средство бальзам “Чага» незаменим при воспалении и шелушении кожи, юношеских угрях, укусах насекомых, для быстрого заживления ожогов и обморожений кожи, при герпесвирусных поражениях, а также экземе, псориазе и грибковых заболеваниях кожи.
Бальзам «Чага» можно использовать в качестве специального крема для  защиты кожи от неблагоприятного воздействия на нее окружающей среды, бытовой химии и агрессивной косметики.</t>
  </si>
  <si>
    <t>Состав: масло Ши, масло манго, масло миндальных косточек, пчелиный воск, экстракт чаги (Inonotus obliquus), вода, сорбитол, цетеариловый спирт, сорбита оливат, лецитин, глицерил каприлат, олеиновая кислота, эфирное масло лаванды (Lavandula officinalis), комплекс природных полиненасыщенных жирных кислот (витамин F), аллантоин, токоферола ацетат (витамин Е), эфирное масло иланг-иланг (Cananga odorata).</t>
  </si>
  <si>
    <t>Применение: нанести бальзам на кожу с небольшим избытком. Через 15-20 имнут избыток бальзама удалить сухой бумажной салфеткой. Наносить бальзам 2 раза в сутки, утром и вечером. Эффект достигается при регулярном применении.
Бальзам не вызывает побочных явлений и привыкания даже при длительном применении.
Внимание: перед первым использованием бальзама нанесите небольшое его количество на тыльную сторону руки и убедитесь, что отсутствует аллергическая реакция на компоненты бальзама.
Противопоказания: не наносить бальзам на открытые раны. Не использовать при наличии аллергических реакций на чагу и эфирные масла лаванды и иланг-иланг.
Хранение: бальзам является натуральным продуктом, в связи с чем хранить его необходимо плотно закрытым в темном прохладном месте. Не нагревать бальзам выше 250С. Избегать попадания на баночку с бальзамом прямого солнечного света. При перерывах в применении для максимального сохранения целительных свойств бальзама хранить его в холодильнике при +40С.
Бальзам не является лекарственным средством.</t>
  </si>
  <si>
    <t>https://disk.yandex.ru/d/rsqa7wERbwnpPA</t>
  </si>
  <si>
    <t>https://kleona.com/domashnyaya-apteka/bal-zamy-dlya-ruk-i-tela/bal-zam-2-chaga-fitoterapiya-dlya-problemnoj-i-vozrastnoj-kozhi/</t>
  </si>
  <si>
    <t>Бальзам № 3   Пихта, 50 мл</t>
  </si>
  <si>
    <t>Бальзам содержит экстракт красного перца, разогревающий ткани, масло розмарина, улучшающее кровоснабжение тканей, пихтовое масло, оказывающее обезболивающее и противовоспалительное действие, и масло можжевельника, повышающее эластичность хрящевой ткани при артритах, артрозах, остеохондрозах. Натуральные растительные масла и ланолин обеспечивают нежное, не обжигающее действие экстракта перца и эфирных масел на кожу. Обеспечивает мягкий, комфортный, продолжительный разогрев мышц и тканей.
Рекомендуется:
• в качестве вспомогательного средства при лечении заболеваний суставов и позвоночника (остеохондроз, ревматизм, артрозы, подагра); бальзам облегчает суставные, ревматические и мышечные боли, уменьшает отеки, стимулирует регенерацию тканей;
• для обезболивания перегруженных (поврежденных) мышц, связок и сухожилий, а также при спортивных и бытовых травмах (вывихи, растяжения);
• при невралгиях и миозитах;
• при простудных заболеваниях;
• при синдроме «холодных ног»;
• как отличное разогревающее средство при легком обморожении кожи рук и ног в зимнее время;
• в качестве массажного крема для проведения локального массажа отдельных участков тела, а также как разогревающее средство для предтренировочного массажа у спортсменов;
• способность компонентов бальзама увеличивать лимфо- и кровоток делает бальзам эффективным средством в терапии целлюлита.</t>
  </si>
  <si>
    <t>Состав: масло Ши, масло манго, оливковое масло, пчелиный воск, пальмовое масло, вода, пихтовое масло (Abies), камфорное масло, сорбита оливат, мед пчелиный, сорбитол, цетеариловый спирт, лецитин, эфирное масло можжевельника (Juniperus), глицерил каприлат, экстракт перца кайенского (Capsicum fastigiatum Bl.), олеиновая кислота, эфирное масло розмарина (Rosmarinus), спирт этиловый, линолевая (омега-6) кислота, аллантоин, токоферола ацетат (витамин Е).</t>
  </si>
  <si>
    <t>Применение: втереть небольшое количество бальзама в область больного сустава (позвоночника, плечевого пояса, коленей, суставов рук, крестцово-поясничного отдела и т.п.). Наложить слой пищевой пленки и прикрыть обработанный бальзамом участок тела шерстяной или хлопчатобумажной тканью. Через 15-20 минут убрать избыток бальзама с кожи сухой бумажной салфеткой.
При бронхите и простудных заболеваниях растереть бальзамом грудь.
При синдроме холодных ног растереть бальзамом стопы.
При целлюлите – немного бальзама нанести на проблемные зоны и выполнить растирание круговыми массажными движениями.
Использовать бальзам 1-2 раза в сутки.
Внимание: перед первым применением бальзама нанесите небольшое его количество на тыльную сторону руки и убедитесь, что у вас отсутствует аллергическая реакция на компоненты бальзама.
После нанесения бальзама тщательно вымойте руки теплой водой с мылом.
Противопоказания:
• не наносить бальзам на открытые раны и на поврежденную кожу;
• не наносить бальзам на чувствительные участки тела;
• избегать попадания бальзама в глаза, в рот и на слизистые; 
• не использовать бальзам при наличии аллергических реакций или гиперчувствительности к пихте, можжевельнику, розмарину или кайенскому перцу.
Хранение: бальзам является натуральным продуктом, в связи с чем хранить его необходимо плотно закрытым в темном прохладном месте. Не нагревать бальзам выше 250С. Избегать попадания на баночку с бальзамом прямого солнечного света. При перерывах в применении для максимального сохранения целительных свойств бальзама хранить его в холодильнике при +40С.
Бальзам «Пихтовый» не является лекарственным средством.</t>
  </si>
  <si>
    <t>https://disk.yandex.ru/d/stO_an5EvCeMkQ</t>
  </si>
  <si>
    <t>https://kleona.com/domashnyaya-apteka/bal-zamy-dlya-ruk-i-tela/bal-zam-3-pihtovyj-dlya-sustavov-travmirovannyh-svyazok-i-myshc-pri-prostude-sindrome-holodnyh-nog-i-cellyulite/</t>
  </si>
  <si>
    <t>Бальзам № 4   Черный тополь, 50 мл</t>
  </si>
  <si>
    <t>50  мл</t>
  </si>
  <si>
    <t>Бальзам «Черный тополь»содержит экстракт почек терного тополя и почек березы, обладающих выраженным антисептическим, бактерицидным, фитонцидным и вирусоцидным действием. При наружном применении бальзам оказывает выраженное антимикробное, противовоспалительное и анестезирующее действие. Имеет двойное применение: как косметическое средство (особо показан при уходе за проблемной кожей) и как натуральное противовоспалительной средство в комплексной терапии больных суставов.
Как косметическое средствобальзам «Черный тополь» рекомендуется:
• для улучшения цвета лица;
• для профилактики и устранения воспалительных явлений на коже;
• в качестве антимикробного и заживляющего средства при повреждениях кожи;
• при стафилококковых и грибковых заболеваниях кожи;
• в терапии экзем и фурункулов;
• при зуде кожи и дерматитах;
• для ухода за кожей ног при синдроме диабетической стопы;
• при гиперкератозе.
Вторая область применения бальзама «Черный тополь» - в качестве противовоспалительного и обезболивающего средства для растираний при острых и хронических болях в суставах, прострелах в спину (люмбаго), остеохондрозе, подагре, ревматизме.</t>
  </si>
  <si>
    <t>Состав: масло Ши, экстракт почек черного тополя (Pópulus nígra), масло манго, пчелиный воск, экстракт почек березы повислой (Bétula péndula), оливковое масло, вода, сорбитол, сорбита оливат, цетеариловый спирт, лецитин, глицерил каприлат, олеиновая кислота, эфирное масло розы (Rosa damascena), линолевая (омега-6) кислота, аллантоин, токоферола ацетат (витамин Е).</t>
  </si>
  <si>
    <t>Применение: небольшое количество бальзама нанести на больной участок кожи или втереть в область больного сустава (позвоночника, плечевого пояса, коленей, суставов рук, крестцово-поясничного отдела и т.д.). Через 15-20 минут избыток бальзама удалить сухой бумажной салфеткой. Использовать бальзам 2 раза в сутки, утром и вечером.
Внимание: перед первым применением бальзама нанесите небольшое его количество на тыльную сторону руки и убедитесь, что отсутствует аллергическая реакция на бальзам.
Противопоказания: препараты тополя и березы даже при длительном применении не оказывают вредного побочного влияния на организм человека. Тем не менее, ввиду высокой биологической активности бальзам запрещен к применению беременным и кормящим женщинам.
Не наносить бальзам на открытые раны и на поврежденную кожу.
Не использовать бальзам при наличии аллергических реакций на тополь или березу.
Хранение: бальзам является натуральным продуктом, в связи с чем его необходимо хранить плотно закрытым в темном прохладном месте. Не нагревать бальзам выше 250С. Избегать попадания на баночку с бальзамом прямого солнечного света. При перерывах в применении для максимального сохранения целительных свойств бальзама хранить в холодильнике при +40С.
Бальзам «Черный тополь» не является лекарственным средством.</t>
  </si>
  <si>
    <t>https://disk.yandex.ru/d/_zWd2C4f0zIiKw</t>
  </si>
  <si>
    <t>https://kleona.com/domashnyaya-apteka/bal-zamy-dlya-ruk-i-tela/bal-zam-4-chernyj-topol-natural-noe-protivovospalitel-noe-sredstvo-dlya-kozhi-i-sustavov-prirodnyj-aspirin/</t>
  </si>
  <si>
    <t>Бальзам № 5   Облепиха, 50 мл</t>
  </si>
  <si>
    <t>Бальзам «Облепиха»  - для быстрого восстановления здоровья кожи при ее сезонной сухости, при обветривании, обморожении, неглубоких ожогах, укусах насекомых, для ускорения заживления ссадин, царапин, расчесываний, а также в качестве профилактического средства от пролежней и трофических язв. Незаменимое средство для увядающей и стареющей кожи.
Питает кожу полиненасыщенными (омега) кислотами. Компенсирует нехватку витаминов А и Е в коже. Восстанавливает здоровый метаболизм в клетках, усиливает кровоток в капиллярах, укрепляет их стенки, возвращает коже жизненный тонус. Смягчает, разглаживает, омолаживает кожу, улучшает ее цвет, придает коже здоровый вид.
Пригоден для любого типа кожи.</t>
  </si>
  <si>
    <t>Состав: масло Ши, масло манго, оливковое масло, пчелиный воск, облепиховое масло (Hippóphaë), зверобойное масло (Hypericum), пальмовое масло, вода, сорбитол, пчелиный мед, сорбита оливат, цетеариловый спирт, глицерил каприлат, лецитин, настойка кервеля ажурного (Anthriscus cerefolium), олеиновая кислота, эфирное масло розы (Rosa damascena), линолевая (омега-6) кислота, аллантоин, токоферола ацетат (витамин Е), янтарная кислота.</t>
  </si>
  <si>
    <t>Применение: нанести бальзам на кожу с небольшим избытком, через 15-20 минут избыток бальзама удалить сухой бумажной салфеткой. Наносить бальзам 2 раза в сутки, утром и вечером. Эффект достигается при регулярном применении.
Бальзам не вызывает побочных явлений и привыканий даже при длительном применении.
Внимание: перед первым применением бальзама нанесите небольшое его количество на тыльную сторону руки и убедитесь, что отсутствует аллергическая реакция на компоненты бальзама.
Противопоказания: не наносить бальзам на открытые раны и на поврежденную кожу. Не использовать при наличии аллергических реакций на облепиху, зверобой и розу.
Хранение: бальзам является натуральным продуктом, в связи с чем его необходимо хранить плотно закрытым в темном прохладном месте. Не нагревать бальзам выше 250С. Избегать попадания на баночку с бальзамом прямого солнечного света. При перерывах в применении для максимального сохранения целительных свойств бальзама хранить в холодильнике при +40С.
Бальзам «Облепиха» не является лекарственным средством.</t>
  </si>
  <si>
    <t>https://disk.yandex.ru/d/ADzeKFb_3ViS4g</t>
  </si>
  <si>
    <t>https://kleona.com/domashnyaya-apteka/bal-zamy-dlya-ruk-i-tela/bal-zam-5-oblepiha-biostimulyator-dlya-kozhi-lica-i-tela-zazhivlenie-vosstanovlenie-omolozhenie/</t>
  </si>
  <si>
    <t>Бальзам № 6   Луковый, 50 мл</t>
  </si>
  <si>
    <t>Бальзам «Луковый» - это большой друг для вас и вашей семьи. Подойдет как для простого ежедневного ухода за кожей лица и тела, так и для решения многочисленных проблем, связанных со здоровьем кожи.
Неоспоримым достоинством бальзама «Луковый» является то, что он часто помогает в тех случаях, когда другие средства не справляются со своей задачей или справляются недостаточно эффективно.
Бальзам «Луковый» может стать настоящим спасательным кругом для человека, у которого есть аллергия на лекарственные травы и медицинские препараты.
Кожные заболевания излечиваются луком настолько эффективно, что кажется, природа создала его специально для этой цели. Не зря в народе говорится: «Лук - от семи недуг!».
Как лечебно-косметическое средство бальзам «Луковый»:
Смягчает и увлажняет кожу, уменьшает покраснение, раздражение, сообщает коже свежий здоровый вид, предупреждает преждевременное старение и образование морщин.
Отлично ухаживает за проблемной кожей. Справляется с угревой сыпью, экземой, дерматозом, фурункулами. Ускоряет заживление кожи, препятствует образованию рубцов.
Эффективен при уходе за сухой, шелушащейся кожей. Возвращает мягкость, эластичность и увлажненность обветренной коже лица и губ. Спасает загрубевшую, потрескавшуюся кожу рук. Увлажняет и смягчает кожу стоп, уменьшает образование натоптышей, ускоряет заживление трещин на пятках.
Незаменим при опрелостях, термических и химических ожогах, труднозаживаемых ссадинах, пролежнях, воспалениях неопределенной этиологии.</t>
  </si>
  <si>
    <t>Состав: луковое масло (Allii cepae sulbus), масло Ши, масло манго, оливковое масло, пчелиный воск, вода, сорбитол, сорбита оливат, цетеариловый спирт, ланолин, лецитин, глицерил каприлат, олеиновая кислота, линолевая (омега-6) кислота, аллантоин, токоферола ацетат (витамин Е).</t>
  </si>
  <si>
    <t>Применение: небольшое количество бальзама легкими массирующими движениями втереть в кожу. Для получения целительного эффекта – нанести бальзам на кожу с небольшим избытком, а через 15-20 минут избыток бальзама удалить сухой бумажной салфеткой. Как правило, достаточно наносить бальзам 2 раза в сутки, утром и вечером. Эффект достигается при регулярном применении.
Бальзам не вызывает побочных явлений и привыканий даже при длительном применении.
Внимание: перед первым применением бальзама нанесите небольшое его количество на тыльную сторону руки и убедитесь, что отсутствует аллергическая реакция на компоненты бальзама.
Противопоказания: не наносить бальзам на открытые раны и на поврежденную кожу. Не использовать при наличии аллергической реакции на лук.
Хранение: бальзам является натуральным продуктом, в связи с чем его необходимо хранить плотно закрытым в темном прохладном месте. Не нагревать бальзам выше 250С. Избегать попадания на баночку с бальзамом прямого солнечного света. При перерывах в применении для максимального сохранения целительных свойств бальзама хранить в холодильнике при +40С.
Бальзам «Луковый» не является лекарственным средством.</t>
  </si>
  <si>
    <t>https://disk.yandex.ru/d/Bntv_ptaiOToAQ</t>
  </si>
  <si>
    <t>https://kleona.com/domashnyaya-apteka/bal-zamy-dlya-ruk-i-tela/bal-zam-6-lukovyj-ekstrennaya-pomow-vashej-kozhe-dlya-ezhednevnogo-uhoda-za-zdorovoj-kozhej-i-resheniya-kozhnyh-problem/</t>
  </si>
  <si>
    <t>Бальзам № 7   Сабельник, 50 мл</t>
  </si>
  <si>
    <t>Единственная область применения бальзама «Сабельник» - это облегчение состояния при заболеваниях опорно-двигательного аппарата.
Бальзам «Сабельник»:
• устраняет боли, связанные с заболеванием суставов и с реакцией суставов на перемену погоды;
• уменьшает боль и отечность суставов в результате вывихов, растяжений, ушибов и при повышенных физических нагрузках;
• восстанавливает подвижность суставов;
• улучшает прилив крови к мышцам и суставам, повышает их тонус, замедляет «старение» суставов;
• способствует восстановлению структуры хрящей и соединительной ткани суставов;
• способствует уменьшению отложения солей в суставах, позвоночнике и шейных позвонках.
Клинический эффект от применения бальзама достигается за счет экстракта сабельника и репейного масла, которые обладают противовоспалительным действием, укрепляют стенки сосудов и капилляров в коже и низлежащих тканях, восстанавливают кровоток в них, улучшают циркуляцию лимфы, стимулируют обменные и восстановительные процессы в тканях. Оба экстракта получены продолжительным низкотемпературным настаиванием. То есть, именно тем старым классическим способом, который обеспечивает максимальное извлечение из растений биологически активных веществ.</t>
  </si>
  <si>
    <t>Состав: масло Ши, масло манго, оливковое масло, пчелиный воск, экстракт сабельника болотного (Comarum), репейное масло (Árctium), пальмовое масло, экстракт одуванчика (Taráxacum), вода, сорбитол, ментол, сорбита оливат, цетеариловый спирт, лецитин, глицерил каприлат, олеиновая кислота, эфирное масло лаванды (Lavandula officinalis), линолевая (омега-6) кислота, аллантоин, токоферола ацетат (витамин Е), эфирное масло мяты перечной (Méntha piperíta).</t>
  </si>
  <si>
    <t>Применение: втереть бальзам в область больного сустава (коленей, суставов рук, плечевого пояса, позвоночника, крестцово-поясничного отдела и т.п.). Через 15-20 минут избыток бальзама удалить сухой бумажной салфеткой. Наносить бальзам 2 раза в сутки, утром и вечером. Эффект достигается при регулярном применении.
Внимание: перед первым применением бальзама нанесите небольшое его количество на тыльную сторону руки и убедитесь, что отсутствует аллергическая реакция на компоненты бальзама.
Противопоказания: бальзам не вызывает негативных побочных явлений даже при длительном применении. Тем не менее бальзам следует с осторожностью применять (особенно при больших площадях нанесения) лицам моложе 18 лет, а также страдающим нарушенимяи функции печени, эпилепсией и заболеваниями головного мозга.
Не наносить бальзам на открытые раны и на поврежденную кожу.
Не использовать бальзам при наличии аллергических реакций на лопух или сабельник.
Хранение: бальзам является натуральным продуктом, в связи с чем его необходимо хранить плотно закрытым в темном прохладном месте. Не нагревать бальзам выше 250С. Избегать попадания на баночку с бальзамом прямого солнечного света. При перерывах в применении для максимального сохранения целительных свойств бальзама хранить в холодильнике при +40С.
Бальзам «Сабельник» не является лекарственным средством.</t>
  </si>
  <si>
    <t>https://disk.yandex.ru/d/eyulyItfuhOj2A</t>
  </si>
  <si>
    <t>https://kleona.com/domashnyaya-apteka/bal-zamy-dlya-ruk-i-tela/bal-zam-7-sabel-nik-luchshee-prirodnoe-sredstvo-dlya-bol-nyh-sustavov/</t>
  </si>
  <si>
    <t>Бальзам № 8   Каштан и Чага, 50 мл</t>
  </si>
  <si>
    <t>Бальзам с чагой показан тем, кто целый день проводит на ногах и имеет проблемы с венами, сопровождающиеся ощущением тяжести, усталости к концу дня. Устраняет болевые ощущения в ногах, уменьшает усталость, устраняет отечность ног. Укрепляет сосуды ног, повышает их тонус, оказывает противовоспалительное действие на больные суставы ног, восстанавливает в них нормальное кровообращение и обмен веществ, замедляет разрушение хрящевой ткани, способствует воспроизводству суставной жидкости. Снимает мышечный спазм, который является еще одной причиной возникновения боли в ногах. Бальзам заметно улучшает качество жизни, в частности, нормализует ночной сон.
Клинический эффект от применения бальзама достигается за счет включения в его состав общепризнанных венотоников: экстрактов чаги, конского каштана, черного тополя и одуванчика.
Чагу часто относят к «всесильным» народным средствам лечения. Она знаменита своими антиоксидантными и противовоспалитель-ными свойствами, при местном применении восстанавливает нормальный тонус сосудов, снижает риск разрыва мелких капилляров и образование сосудистой сеточки.
Конский каштан расширяет сосуды, повышает их тонус, укрепляет венозную стенку, разжижает кровь, уменьшает отечность ног.
Черный тополь (его еще называют «природным аспирином») не хуже аптечного разжижает кровь и тем самым отлично разгружает венозную систему и предупреждает тромбообразование. Он обладает противовоспалительным и болеутоляющим действием и так же, как конский каштан, укрепляет стенки вен.
Свойством укрепления венозной стенки обладает и одуванчик лекарственный. Это свойство ему сообщают фосфолипиды, содержащиеся в корнях этого растения.</t>
  </si>
  <si>
    <t>Состав: масло Ши, масло манго, масло миндальных косточек, пчелиный воск, экстракт чаги (Inonotus obliquus), экстракт цветов каштана конского (Aesculus), экстракт почек черного тополя (Pópulus nígra), экстракт одуванчика (Taráxacum), экстракт боярышника (Crataégus), вода, сорбитол, сорбита оливат, цетеариловый спирт, лецитин, глицерил каприлат, олеиновая кислота, эфирное масло лаванды (Lavandula officinalis), эфирное масло голубой ромашки (Ormenis multicaulis), линолевая (омега-6) кислота, аллантоин, токоферола ацетат (витамин Е), эфирное масло иланг-иланг (Cananga odorata).</t>
  </si>
  <si>
    <t>Применение: нанести бальзам на кожу с небольшим избытком. Через 15-20 имнут избыток бальзама удалить сухой бумажной салфеткой. Наносить бальзам 2 раза в сутки, утром и вечером. Эффект достигается при регулярном применении.
Бальзам не вызывает побочных явлений и привыканий даже при длительном применении.
Внимание: перед первым применением бальзама нанесите небольшое его количество на тыльную сторону руки и убедитесь, что отсутствует аллергическая реакция на компоненты бальзама.
Противопоказания: не наносить бальзам на открытые раны и на поврежденную кожу. Не использовать при наличии аллергических реакций на чагу, каштан и донник.
Хранение: бальзам является натуральным продуктом, в связи с чем хранить его необходимо плотно закрытым в темном прохладном месте. Не нагревать бальзам выше 250С. Избегать попадания на баночку с бальзамом прямого солнечного света. При перерывах в применении для максимального сохранения целительных свойств бальзама хранить его в холодильнике при +40С.
Бальзам не является лекарственным средством.</t>
  </si>
  <si>
    <t>https://disk.yandex.ru/d/mSGndYt8IFAuiw</t>
  </si>
  <si>
    <t>https://kleona.com/domashnyaya-apteka/bal-zamy-dlya-ruk-i-tela/bal-zam-8-kashtan-i-chaga-dlya-uluchsheniya-krovosnabzheniya-snyatiya-otechnosti-i-ustalosti-nog-pri-venoznoj-nedostatochnosti/</t>
  </si>
  <si>
    <t xml:space="preserve">Бальзам № 9   Окопник, 50 мл    </t>
  </si>
  <si>
    <t>Бальзам «Окопник» облегчает состояние при:
• травмах (ушибы, растяжения, вывихи, крово-
подтеки, переломы костей);
• радикулите, остеохондрозе, болях в обла-
сти спины, пояснице, суставах (при артритах
и артрозах) как дополнительное средство к
основному лечению;
• болях и воспалении нервных окончаний
(ишиасе) после переохлаждения;
• мышечной боли и напряжении, после чрез-
мерной физической нагрузки;
• мелких повреждениях кожи (укусах комаров,
ссадин и т.п.);
• сухости и трещинах кожи (в т.ч. в области пяток).
Бальзам «Окопник»:
• уменьшает неприятные ощущения и болез-
ненность в мышцах и суставах, возникшие
при чрезмерных физических нагрузках во
время тренировок или после тяжелого тру-
дового дня;
• уменьшает напряжение в шее или поясни-
це после переохлаждения, пребывания на
сквозняке или под кондиционером;
• снижает тонус, расслабляет мышцы, облег-
чает движение в суставах.
Эффект от применения бальзама обуслов-
лен наличием в составе экстракта окопника,
который получен продолжительным низкотем-
пературным настаиванием - тем старым клас-
сическим способом, который обеспечивает
максимальное извлечение из растений биоло-
гически активных веществ.
Корень окопника содержит аллантоин, му-
цин и танин, за счет чего реализуются вяжу-
щее, противовоспалительное и обезболиваю-
щее действие бальзама. Витамин Е обладает
антиоксидантной активностью, тормозит сво-
бодно-радикальные процессы, предотвращает
образование пероксидов, повреждающих кле-
точные и субклеточные мембраны.
Алкалоиды, которые содержатся в окопнике,
оказывают расслабляющее действие на мышцы,
поэтому регулярный массаж с использованием
бальзама улучшает микроциркуляцию в коже и
нижележащих тканях, восстанавливает кровоток в
них, улучшает циркуляцию лимфы, стимулирует об-
менные и восстановительные процессы в тканях. Косметическое действие:
Бальзам хорошо удерживает влагу, смягчает
и питает кожу, является прекрасным космети-
ческим средством для уст-ранения сухости и
трещин кожи (в т.ч. в области пяток), активизи-
рует процессы регенерации кожных покровов,
способствует заживлению ссадин.</t>
  </si>
  <si>
    <t>масло ши, масло манго, масло олив-
ковое, пчелиный воск, масляный экстракт окоп-
ника, масло пальмовое, масло кукурузных по-
чатков, вода, эфирное масло пихты, сорбитол,
сорбитан оливат, цетеариловый спирт, лецитин,
глицерил каприлат, олеиновая кислота, аллан-
тоин, токоферола ацетат (витамин Е).</t>
  </si>
  <si>
    <t>Применение: при легких травмах, болях в
мышцах и суставах, незначительных повреж-
дениях кожных покровов наносить бальзам
на пораженное место 2-3 раза в день, втирая
его в кожу легкими массирующими движения-
ми. При радикулите, ишиасе, миозите нанести
бальзам чуть более толстым слоем на пора-
женную область, втереть в кожу легкими мас-
сирующими движениями, накрыть слоем мар-
ли, которую закрепить повязкой, и оставить на
ночь. Количество мази и частота применения
могут меняться в зависимости от величины об-
рабатываемого участка.</t>
  </si>
  <si>
    <t>https://disk.yandex.ru/d/pgBSfqVUN61eSA</t>
  </si>
  <si>
    <t>https://kleona.com/domashnyaya-apteka/bal-zamy-dlya-ruk-i-tela/balzam_9_okopnik/</t>
  </si>
  <si>
    <t xml:space="preserve">Серия "МУЖСКОЙ ХАРАКТЕР"    </t>
  </si>
  <si>
    <t>4627101828904</t>
  </si>
  <si>
    <t xml:space="preserve">Крем с матриксилом вокруг глаз, 15 мл </t>
  </si>
  <si>
    <t>98*43*43</t>
  </si>
  <si>
    <t>диспенсер  ПНД / коробка тубус</t>
  </si>
  <si>
    <t>коробка тубус</t>
  </si>
  <si>
    <t>Действие: мультифункциональный крем для борьбы с первыми возрастными признаками и для восстановления молодости кожи вокруг глаз. Хорошо подходит для ухода за обезвоженной, сухой, ослабленной, вялой кожей. Делает кожу более плотной, упругой и эластичной. Разглаживает мелкие морщинки, уменьшает видимость крупных морщин и их длину, предупреждает образование новых. Интенсивно увлажняет кожу, поддерживает ее нормальное состояние длительное время. Уменьшает признаки усталости. Быстро впитывается, не оставляя ощущений жирности и липкости. Устойчивые результаты от применения крема достигаются через 2 месяца регулярного применения.</t>
  </si>
  <si>
    <t xml:space="preserve">Состав: вода деионизированная, композиция  тетрапептидов  пальмитилтетрапептид-1 и пальмитилтетрапептид-7 (Matrixyl™), масло миндальных косточек, масло  зародышей  кукурузы, глюкоза, 
полиглицерил-3-метилглюкозы  дистеарат, масло макадамии, масло клещевины, глицерин  растительного  происхождения, каприлик/каприк  триглицериды, масло карите, сквалан, масло оливковое,  экстракт жимолости, стеарат сахарозы, глицерил каприлат, гиалуроновая кислота низкомолекулярная,  токоферола  ацетат (витамин  Е), комплекс полиненасыщенных жирных кислот (витамин F), аллантоин, экстракт алоэ вера, ксантановая камедь. </t>
  </si>
  <si>
    <t>Способ применения: необходимое количество крема выдавите на кончик пальца, легкими похлопывающими движениями нанесите тонким слоем на очищенную кожу век. Используйте вечером за 30 - 40 минут до сна.</t>
  </si>
  <si>
    <t>https://disk.yandex.ru/d/uP3Kj404JiSLdg</t>
  </si>
  <si>
    <t>https://kleona.com/muzhchinam/krema_po_uhodu_za_licom_i_zonoj_glaz/krem_dlya_vosstanovleniya_molodosti_kozhi_vokrug_glaz/</t>
  </si>
  <si>
    <t xml:space="preserve">Мыло подарочное  "Рыба" в коробке, 155 г   </t>
  </si>
  <si>
    <t>155 г</t>
  </si>
  <si>
    <t>сладкий травяной</t>
  </si>
  <si>
    <t>80*188*56</t>
  </si>
  <si>
    <t>Натуральное высокопенное банное мыло, изготовленное вручную традиционным способом из кокосового, оливкового и касторового масел с добавлением экстрактов ромашки и ячменя. Обеспечивает бережный  и здоровый  уход за кожей. Мягко очищает её, не высушивает, не стягивает, сохраняет эластичность. Благодаря натуральному составу, мыло прекрасно подходит для повседневного ухода за кожей лица и тела.  Аромат из масел сандала, полыни и шалфея пробуждает жизненную энергию.
В качестве остроумного подарка приподнесите мыло «Рыба особая» с шампунем "Пивной"</t>
  </si>
  <si>
    <t>Состав: омыленная смесь кокосового, оливкового, пальмового, касторового масел и пчелиного воска, вода, глицерин природного происхождения, экстракт ячменя, экстракт ромашки, эфирное масло сандала, эфирное масло шалфея мускатного, эфирное масло полыни.</t>
  </si>
  <si>
    <t>https://disk.yandex.ru/d/bw5ZcKj4ZwWBLA</t>
  </si>
  <si>
    <t>https://kleona.com/podarki/dlya_dusha_i_bani/mylo-ryba-osobaya/</t>
  </si>
  <si>
    <r>
      <rPr>
        <b/>
        <sz val="10"/>
        <rFont val="Arial"/>
        <family val="2"/>
        <charset val="204"/>
      </rPr>
      <t xml:space="preserve">Шампунь "Пивной" для любого типа волос, 250 мл  </t>
    </r>
    <r>
      <rPr>
        <b/>
        <sz val="10"/>
        <color indexed="10"/>
        <rFont val="Arial"/>
        <family val="2"/>
        <charset val="204"/>
      </rPr>
      <t xml:space="preserve"> </t>
    </r>
  </si>
  <si>
    <t>ЕАЭС N RU Д-RU.РА09.В.43417/22</t>
  </si>
  <si>
    <t>https://disk.yandex.ru/d/4WoGtkbe1D-UMQ</t>
  </si>
  <si>
    <t>пивной дрожжевой</t>
  </si>
  <si>
    <t>152*59*59</t>
  </si>
  <si>
    <t>флакон 250 мл ПЭТ коричневыйй Ц / 24/410помпа дозирующая черная / колпачок ТУ прозрачный</t>
  </si>
  <si>
    <t>Деликатно очищает волосы и кожу головы. Пчелиный мед и полисахариды, образующиеся в процессе варки пива, увлажняют волосы, придают им объем. Витамины (В1, В2, В6, РР), аминокислоты, протеины и минеральные  вещества,  содержащиеся  в  шампуне, улучшают структуру волос, возвращают им жизненную силу и придают блеск. Корень одуванчика обладает бактерицидными  и  противовоспалительными  свойствами,  уменьшает  образование  перхоти  и  снимает  раздражение кожи головы. Экстракты хмеля и ячменя помогают укрепить корни,  уменьшают выпадение волос,  стимулируют  рост  новых.  Шампунь  подходит  для  ежедневного использования. Применение: нанесите шампунь на влажные волосы, вспеньте, смойте теплой водой.
В качестве остроумного подарка приподнесите шампунь "Пивной" вместе с мылом "Рыба особая".</t>
  </si>
  <si>
    <t xml:space="preserve">Состав:  вода  деионизированная,  пиво  светлое,  мягкая «зеленая»  моющая  основа*,  экстракт  хмеля, экстракт ячменя, экстракт корней одуванчика, кокамидопропилбетаин,  глицерил  олеат,  свекольный  бетаин,  молочная кислота, пчелиный мед, бензиловый спирт, провитамин В5 (D-пантенол), аллантоин. Не содержит лаурилсульфата и лаурилэтоксисульфата натрия.
* включает в себя: лаурилглюкозид натрия, кокоилглутамат натрия, лаурилглюкозкарбоксилат натрия и кокамфоацетат  натрия  (разрешено  ECOCERT  для  натуральной органической косметики).
</t>
  </si>
  <si>
    <t>Нанесите шампунь на влажные волосы, вспеньте, смойте теплой водой. При необходимости повторите операцию. После первого нанесения шампуня возможно не слишком сильное пенообразование. Это не является недостатком продукта.
Не рекомендуется использовать этот шампунь для смывания масляных масок для волос и иных аналогичных загрязнений.</t>
  </si>
  <si>
    <t>https://kleona.com/podarki/dlya_dusha_i_bani/shampun-pivnoj/</t>
  </si>
  <si>
    <t xml:space="preserve">Мыло для умывания и бритья "Мужской характер" с маслом алтайской ОБЛЕПИХИ, 85 г </t>
  </si>
  <si>
    <t>71*70*24</t>
  </si>
  <si>
    <t>100%-но натуральное мыло для умывания и бритья на основе растительных масел. Деликатно очищает, не сушит и не стягивает кожу. Обеспечивает отличное скольжение лезвия, легкое и безупречное удаление щетины без давления, возможность добривок без дополнительного нанесения мыла.
Содержит масло алтайской облепихи, ускоряющее заживление случайных царапин и порезов во время бритья. Натуральные эфирные масла апельсина, лаванды и нероли оказывают дополнительное бактерицидное и заживляющее действие, придают коже приятный цветочно-цитрусовый аромат.
Подходит для всех типов кожи.</t>
  </si>
  <si>
    <t>Состав мыла: омыленная смесь оливкового, кокосового, пальмового и касторового масел,  вода, каолин, глюкоза, растительный глицерин, масло алтайской облепихи, пчелиный воск, лимонная кислота, эфирное масло лаванды, эфирное масло апельсина сладкого, эфирное масло нероли, эфирное масло пачули, токоферола ацетат (витамин Е).</t>
  </si>
  <si>
    <t>используйте мыло для ежедневного применения. Для бритья: получите пену любым удобным для вас способом. Нанесите ее на лицо. Побрейтесь. Остатки мыла смойте теплой водой. При необходимости нанесите на кожу лица бальзам или тоник.</t>
  </si>
  <si>
    <t>https://disk.yandex.ru/d/QqRd8aMZeyvyNQ</t>
  </si>
  <si>
    <t>https://kleona.com/muzhchinam/universal-nye-myla-dlya-umyvaniya-i-brit-ya/mylo-dlya-umyvaniya-i-brit-ya-s-maslom-alatjskoj-oblepihi/</t>
  </si>
  <si>
    <t xml:space="preserve">Мыло для умывания и бритья "Мужской характер" с маслом ЛАВАНДЫ и подорожником, 85 г    </t>
  </si>
  <si>
    <t>100%-но натуральное мыло для умывания и бритья на основе растительных масел.
Деликатно очищает, не сушит и не стягивает кожу. Обеспечивает отличное скольжение лезвия, легкое и безупречное удаление щетины без давления, возможность добривок без дополнительного нанесения мыла.
Содержит отвар подорожника, ускоряющий заживление царапин и порезов, пчелиный воск и масло ши, защищающие кожу от обезвоживания, и эфирное масло лаванды, которое снимает раздражение и успокаивает кожу.
Подходит для всех типов кожи, включая чувствительную.</t>
  </si>
  <si>
    <t>Состав мыла:  омыленная смесь оливкового, кокосового, пальмового и касторового масел, отвар подорожника большого, глюкоза, растительный глицерин, масло ши, пчелиный воск, лимонная кислота, эфирное масло лаванды, эфирное масло шалфея мускатного, эфирное масло ромашки римской, токоферола ацетат (витамин Е).</t>
  </si>
  <si>
    <t>https://disk.yandex.ru/d/t6peSjZtbyP6qw</t>
  </si>
  <si>
    <t>https://kleona.com/muzhchinam/universal-nye-myla-dlya-umyvaniya-i-brit-ya/mylo-dlya-umyvaniya-i-brit-ya-s-maslom-lavandy-i-podorozhnikom/</t>
  </si>
  <si>
    <t>Мыло для умывания и бритья "Мужской характер" с маслами ПОЛЫНИ и сандала, 85 г</t>
  </si>
  <si>
    <t>100%-но натуральное мыло для умывания и бритья на основе растительных масел. Деликатно очищает, не сушит и не стягивает кожу. Обеспечивает отличное скольжение лезвия, легкое и безупречное удаление щетины без давления, возможность добривок без дополнительного нанесения мыла.
Эфирные масла полыни и сандала оказывают бактерицидное, противовоспалительное и заживляющее действие при случайных порезах во время бритья, воспалениях, а также при угревой сыпи.
Разработано для всех типов кожи. Хорошо подходит для ухода за кожей, склонной к воспалениям.</t>
  </si>
  <si>
    <t>Состав мыла: омыленная смесь оливкового, кокосового, пальмового и касторового масел, вода, каолин, глюкоза, растительный глицерин, масло ши, пчелиный воск, лимонная кислота, эфирное масло полыни таврической, эфирное масло сандала, эфирное масло шалфея мускатного, токоферола ацетат (витамин Е).</t>
  </si>
  <si>
    <t>https://disk.yandex.ru/d/2Z67ckrVcQvzKg</t>
  </si>
  <si>
    <t>https://kleona.com/muzhchinam/universal-nye-myla-dlya-umyvaniya-i-brit-ya/mylo-dlya-umyvaniya-i-brit-ya-s-maslom-polyni-i-sandala/</t>
  </si>
  <si>
    <t>Мыло для бритья с лавандой в банке, 100 г</t>
  </si>
  <si>
    <t>34*Ø90</t>
  </si>
  <si>
    <t>Натуральное мыло для классического бритья с помазком. Дает обильную устойчивую пену. Эффективно смягчает щетину, обеспечивает легкое комфортное бритье и гладко выбритую кожу. Не сушит, не стягивает. Имеет легкий цветочно-лавандовый аромат. Оставляет после себя нежное приятное ощущение прохлады. Не содержит красителей и синтетических добавок. Подходит для любого типа кожи.</t>
  </si>
  <si>
    <t>Состав мыла:  вода деионизированная, стеарат натрия, омыленные масла (пальмовое, оливковое, кокосовое, бабассу, касторовое), растительный глицерин, сорбит, белая глина (каолин), рисовый крахмал, эфирное масло лаванды, эфирное масло голубой ромашки, токоферола ацетат (витамин Е), эфирное масло апельсина, эфирное масло пачули, экстракт ванили.</t>
  </si>
  <si>
    <t>смочите помазок горячей водой, взбейте мыло в густую пену, круговыми движениями нанесите на кожу. Побрейтесь привычным для вас способом. Смойте остатки мыла теплой водой. Нанесите бальзам или тоник, подходящий для Вашего типа кожи.</t>
  </si>
  <si>
    <t>https://disk.yandex.ru/d/pyuXuJc2ZKYuNw</t>
  </si>
  <si>
    <t>https://kleona.com/muzhchinam/mylo-dlya-klassicheskogo-brit-ya-s-pomazkom/vysokopennoe-mylo-dlya-klassicheskogo-brit-ya-s-lavandoj-i-goluboj-romashkoj/</t>
  </si>
  <si>
    <t>Мыло для бритья с ментолом в банке, 100 г</t>
  </si>
  <si>
    <t>Натуральное мыло для классического бритья с помазком. Дает обильную устойчивую пену. Эффективно смягчает щетину, обеспечивает легкое комфортное бритье и гладко выбритую кожу. Не сушит, не стягивает. Имеет нежный цветочно-мятный аромат. Оставляет после себя приятное ощущение прохлады. Не содержит красителей и синтетических добавок. Подходит для любого типа кожи.</t>
  </si>
  <si>
    <t xml:space="preserve">Состав мыла: вода деионизированная, стеарат натрия, омыленные масла (пальмовое, оливковое, кокосовое, бабассу, касторовое), растительный глицерин, сорбит, белая глина (каолин), рисовый крахмал, ментол, эфирное масло иланг-иланг, эфирное масло герани, экстракт ванили, токоферола ацетат (витамин Е).
</t>
  </si>
  <si>
    <t xml:space="preserve">смочите помазок горячей водой, взбейте мыло в густую пену, круговыми движениями нанесите на кожу. Побрейтесь привычным для вас способом. Смойте остатки мыла теплой водой. Нанесите бальзам или тоник, подходящий для Вашего типа кожи.
</t>
  </si>
  <si>
    <t>https://disk.yandex.ru/d/V4NMUqz5ByQo3Q</t>
  </si>
  <si>
    <t>https://kleona.com/muzhchinam/mylo-dlya-klassicheskogo-brit-ya-s-pomazkom/vysokopennoe-mylo-dlya-klassicheskogo-brit-ya-s-mentolom-i-maslom-ilang-ilang/</t>
  </si>
  <si>
    <t xml:space="preserve">Мыло для бритья с белым перцем в банке, 100 г  </t>
  </si>
  <si>
    <t>Нежное натуральное мыло для классичес-_x0003_кого бритья с помазком. Дает обильную устойчивую пену. Эффективно смягчает щетину, обеспечивает легкое комфортное бритье и гладко выбритую кожу. Не сушит, не стягивает кожу, способствует быстрому заживлению порезов. Необычное сочетание ароматов тропических растений и специй позволит получить большое эстетическое наслаждение от процесса бритья.</t>
  </si>
  <si>
    <t>Состав: стеарат натрия, омыленные масла (пальмовое, оливковое, кокосовое, бабассу, касторовое), вода деионизированная, глицерин растительного происхождения, сорбит, белая глина (каолин), токоферола ацетат (витамин Е), лимонная кислота, экстракт белого перца, экстракт кориандра, экстракт ладана, экстракт гвоздики, эфирные масла: лаванды, можжевельника, агарового дерева.</t>
  </si>
  <si>
    <t>Способ применения: смочите помазок горячей водой, взбейте мыло в густую пену, нанесите её круговыми движениями на кожу. Побрейтесь привычным для вас способом. Смойте остатки мыла теплой водой. При необходимости нанесите бальзам, подходящий для вашего типа кожи.</t>
  </si>
  <si>
    <t>https://disk.yandex.ru/d/fg38eI9uArnrlw</t>
  </si>
  <si>
    <t>https://www.kleona.com/muzhchinam/_/mylo-dlya-klassicheskogo-brit-ya-s-belym-percem-i-mozhzhevel-nikom/</t>
  </si>
  <si>
    <t xml:space="preserve">Мыло для бритья с гурьюнским бальзамом в банке, 100 г </t>
  </si>
  <si>
    <t>Нежное натуральное мыло для классичес-_x0003_кого бритья с помазком. Дает обильную устой-_x0003_чивую пену. Эффективно смягчает щетину, обеспечивает легкое комфортное бритье и гладко выбритую кожу. Не сушит, не стягивает кожу, придает ей ощущение свежести, спо-_x0003_собствует быстрому заживлению порезов. Великолепная ароматическая композиция из запахов тропических растений позволит получить эстетическое наслаждение от процесса бритья.</t>
  </si>
  <si>
    <t>Состав: стеарат натрия, омыленные масла (пальмовое, оливковое, кокосовое, бабассу, касторовое), вода деионизированная, глицерин растительного происхождения, сорбит, белая глина (каолин), токоферола ацетат (витамин Е), лимонная кислота, эфирное масло лимона, эфирное масло корицы, экстракт корней ириса, эфирное масло гурьюнского бальзама, экстракт ванили, экстракт бобов тонка, эфирные масла: сандалового дерева, нагармота, пачули, жасмина, гваякового дерева.</t>
  </si>
  <si>
    <t>https://disk.yandex.ru/d/LBSNE06A8OqD6Q</t>
  </si>
  <si>
    <t>https://www.kleona.com/muzhchinam/_/mylo-dlya-klassicheskogo-brit-ya-s-gur-yunskim-bal-zamom/</t>
  </si>
  <si>
    <r>
      <t xml:space="preserve">Гель для душа с белым перцем, 200 мл  </t>
    </r>
    <r>
      <rPr>
        <b/>
        <sz val="10"/>
        <color indexed="10"/>
        <rFont val="Arial"/>
        <family val="2"/>
        <charset val="204"/>
      </rPr>
      <t xml:space="preserve"> </t>
    </r>
  </si>
  <si>
    <t>ЕАЭС N RU Д-RU.РА04.В.18300/22</t>
  </si>
  <si>
    <t>https://disk.yandex.ru/d/xd0mxssD8fWtKA</t>
  </si>
  <si>
    <t>162*46*46</t>
  </si>
  <si>
    <t>Отлично пенится, хорошо очищает, великолепно освежает и тонизирует. Легко смывается, не оставляя на теле остаточной скользкости. Не сушит и не стягивает кожу. Обладает утонченным запахом тропических растений_x0003_и восточных специй, которые бодрят и улуч-_x0003_шают настроение. Бархатный и нежный аромат агарового дерева придаст уверенности и благородства, энергичности и страсти. Содержит только натуральные компоненты. Прекрасно подходит для ежедневного ухода за любым типом кожи.</t>
  </si>
  <si>
    <t>Состав: вода деионизированная, кокоглюкозид, лаурилглюкозид, кокосульфат натрия, кокамидопропилбетаин, свекольный бетаин, глицерин, лимоннокислый натрий, бензиловый спирт, экстракт жимолости японской, глицерилкаприлат, лимонная кислота, экст-_x0003_ракт алоэ вера, экстракт белого перца, экстракт кориандра, экстракт ладана, экст-_x0003_ракт гвоздики, эфирное масло лаванды, эфирное масло можжевельника, эфирное масло мяты, эфирное масло агарового дерева.</t>
  </si>
  <si>
    <t>Способ применения: используйте привычным для вас способом.</t>
  </si>
  <si>
    <t>https://disk.yandex.ru/d/_zf1oRFI8T9cYA</t>
  </si>
  <si>
    <t>https://www.kleona.com/muzhchinam/geli-dlya-dusha/gel-dlya-dusha-s-maslom-agarovogo-dereva/</t>
  </si>
  <si>
    <t xml:space="preserve">Гель для душа с гурьюнским бальзамом, 200 мл   </t>
  </si>
  <si>
    <t>Отлично пенится, хорошо очищает, великолепно освежает. Легко смывается, не оставляя на теле остаточной скользкости. Не сушит и не стягивает кожу. С запахом летнего вечера — теплого, пья-_x0003_нящего, загадочного. Великолепный аромат, на-_x0003_полненный тропическими нотами гурьюнского бальзама, гваякового дерева, сандала и лимона, быстро снимет эмоциональное напряжение и улуч-_x0003_шит настроение. Содержит только натуральные компоненты. Прекрасно подходит для ежедневного ухода за любым типом кожи.</t>
  </si>
  <si>
    <t>Состав: вода деионизированная, кокоглюкозид, лаурилглюкозид, кокосульфат натрия, кокамидопропилбетаин, свекольный бетаин, глицерин, лимоннокислый натрий, бензиловый спирт, экстракт жимолости японской, глицерилкаприлат, лимонная кислота, экстракт алоэ вера, эфирное масло лимона, эфирное масло корицы, экстракт корней ириса, эфирное масло гурьюнского бальзама, экстракт ванили, экстракт бобов тонка, эфирное масло сандалового дерева, эфирное масло нагармота, эфирное масло пачули, эфирное масло жасмина, эфирное масло гваякового дерева.</t>
  </si>
  <si>
    <t>Способ применения: используйте привыч-_x0003_ным для вас способом.</t>
  </si>
  <si>
    <t>https://disk.yandex.ru/d/1Xeeaibhdvp9lg</t>
  </si>
  <si>
    <t>https://www.kleona.com/muzhchinam/geli-dlya-dusha/gel-dlya-dusha-s-gur-yunskim-bal-zamom/</t>
  </si>
  <si>
    <t xml:space="preserve">Гель для душа "Мужской характер" с индийской мятой, 200 мл  </t>
  </si>
  <si>
    <t>свежий мятный</t>
  </si>
  <si>
    <t>флакон 250 мл ПЭТ коричневыйй Ц / 24/410 диск-топ черный / колпачок ТУ прозрачный</t>
  </si>
  <si>
    <t>ПЭТ</t>
  </si>
  <si>
    <t xml:space="preserve">Натуральное  эффективное средство  для душа. Отлично  пенится, хорошо смывает загрязнения  различного  происхождения, великолепно  освежает  тело,  оказывает тонизирующее  действие.  Легко  смывается, не оставляя на теле неприятной остаточной скользкости. Не сушит и не стягивает кожу. Имеет  приятный  ненавязчивый  аромат. В рецептуру  геля  входят  только  мягкие  
натуральные  компоненты,  не  вызывающие раздражения.  Подходит  для  ежедневного применения.
</t>
  </si>
  <si>
    <t xml:space="preserve">Состав: вода деионизированная, кокосульфат натрия, кокоглюкозид, лаурилглюкозид, кокамидопропилбетаин,  лимонная  кислота, глицерин,  свекольный  бетаин,  экстракт имбиря,  бензиловый  спирт,  экстракт  жимолости японской, глицерил каприлат, экстракт алоэ  вера,  ментол,  эфирное  масло  индийской мяты, экстракт ванили, эфирное масло пачули, аллантоин. </t>
  </si>
  <si>
    <t xml:space="preserve">Способ  применения:  нанести  достаточное количество  геля  на  мокрую  мочалку. Немного  вспенить  мочалку  в  руках. Распределить  пену  равномерно  по  телу, смыть теплой проточной водой.    </t>
  </si>
  <si>
    <t>https://disk.yandex.ru/d/uxx4UJ0k8cQthw</t>
  </si>
  <si>
    <t>https://kleona.com/muzhchinam/shampuni-i-geli-dlya-dusha/gel-dlya-dusha-osvezhayuwij-toniziruyuwij/</t>
  </si>
  <si>
    <r>
      <t xml:space="preserve">Гель для душа "Мужской характер" с черным кофе, 200 мл </t>
    </r>
    <r>
      <rPr>
        <b/>
        <sz val="10"/>
        <color indexed="10"/>
        <rFont val="Arial"/>
        <family val="2"/>
        <charset val="204"/>
      </rPr>
      <t xml:space="preserve"> </t>
    </r>
  </si>
  <si>
    <t>кофейный</t>
  </si>
  <si>
    <t xml:space="preserve">Формула геля содержит экстракты растений и  «зеленые»  моющие  компоненты.  Он отлично очищает и дезодорирует. Не сушит и не  стягивает  кожу.  Легко  смывается,  не оставляя  остаточной  скользкости.  После применения  надолго сохраняет свежесть кожи.  Его  привлекательный  аромат с характерными  нотами  миндаля  и  черного кофе не оставит равнодушным ни мужчину, 
ни его спутницу. Подходит для ежедневного применения. 
</t>
  </si>
  <si>
    <t xml:space="preserve">Состав: вода, кокосульфат натрия,  кокоглюкозид  натрия, кокоамфоацетат  натрия, экстракт черного кофе, свекольный бетаин,  экстракт косточек миндаля, экстракт косточек абрикоса, экстракт корицы, глицерилолеат,  глицерин  растительного  происхождения,  лактат  натрия, экстракт жимолости японской, глицерилкаприлат, сахароза, молочная кислота, экстракт ванили, экстракт 
гвоздики,  экстракт перца  душистого, экстракт тмина. </t>
  </si>
  <si>
    <t>Способ  применения: нанесите  гель  на мокрую мочалку. Распределите по телу до образования пены. Смойте теплой водой.    
Противопоказания: аллергические реакции или индивидуальная непереносимость отдельных компонентов геля.</t>
  </si>
  <si>
    <t>https://disk.yandex.ru/d/VPte_aB_1y1jyw</t>
  </si>
  <si>
    <t>https://kleona.com/muzhchinam/shampuni-i-geli-dlya-dusha/natural-nyj-gel-dlya-dusha-toniziruyuwij-ukreplyayuwij/</t>
  </si>
  <si>
    <t xml:space="preserve">Шампунь "Мужской характер" с хвощом, 250 мл </t>
  </si>
  <si>
    <t>флакон 250 мл ПЭТ коричневыйй Ц / 24/410 помпа дозирующая черная</t>
  </si>
  <si>
    <t xml:space="preserve">Тонизирующий  шампунь  для  бодрого  начала  дня. Натуральные компоненты в составе шампуня бережно заботятся  о  волосах,  очищают  их  от  загрязнений, устраняют жирный блеск, наполняют волосы полезными  веществами  и  микроэлементами,  обеспечивают здоровый внешний вид.  Шампунь оказывает бактерицидное, противовоспалительное и освежающее действие  на  кожу  головы,  поддерживает  оптимальное значение рН. Хорошо пенится. Экономичен в использовании. Сбалансированная формула шампуня делает его отличным средством на каждый день.
</t>
  </si>
  <si>
    <t xml:space="preserve">Состав:  вода  деионизированная,  лаурилглюкозид натрия,  кокоглюкозид  натрия,  кокосульфат  натрия, кокамидопропилбетаин,  кокамфоацетат  натрия,  экстракт  крапивы,  экстракт  девясила,  экстракт  хвоща полевого,  молочная  кислота,  молочнокислый  калий, глицерин,  гидрогенизированный  соевый  лецитин, бензиловый спирт, экстракт жимолости японской, глицерил каприлат, эфирное масло индийской мяты, экстракт ванили, эфирное масло пачули, аллантоин.
</t>
  </si>
  <si>
    <t>Способ  применения:  нанесите  шампунь  на  влажные волосы, вспеньте легкими массажными движениями по всему объему волос. Тщательно, в течение 1-2 минут, смойте шампунь теплой водой.</t>
  </si>
  <si>
    <t>https://disk.yandex.ru/d/IECzU29Nd_0Obg</t>
  </si>
  <si>
    <t>https://kleona.com/muzhchinam/shampuni-i-geli-dlya-dusha/shampun-osvezhayuwij-ukreplyayuwij/</t>
  </si>
  <si>
    <t xml:space="preserve">Шампунь "Мужской характер" с черным кофе, 250 мл  </t>
  </si>
  <si>
    <t>200  мл</t>
  </si>
  <si>
    <t xml:space="preserve">Эффективно очищает волосы. При регулярном применении нормализует жирность волос, делает их сильными  и  здоровыми.  Экстракт черного кофе тонизирует кожу головы и укрепляет корни, предупреждая выпадение волос. Экстракты имбиря и корня женьшеня улучшают  обменные  процессы  в  волосяных  луковицах, стимулируют рост новых здоровых волос. Корень одуванчика оказывает бактерицидное и противовоспалительное действие на кожу головы, смягчает её, устраняет раздражение. Экстракт цикория, богатый инулином, увлажняет  волосы,  улучшает  их  структуру,  повышает эластичность. Подходит для ежедневного применения. </t>
  </si>
  <si>
    <t xml:space="preserve">Состав: вода, мягкая «зеленая» моющая основа*, глицерилолеат,  кокоглюкозид  натрия,  экстракт  черного 
кофе, свекольный бетаин, молочная кислота, молочнокислый калий, экстракт жимолости японской, экстракты корней: одуванчика, цикория, имбиря, глицерин, аллантоин, экстракт женьшеня, натуральная эссенция шоколада, эфирное масло розового дерева, эфирное масло герани, экстракт ванили. 
*включает в себя лаурилглюкозид  натрия,  кокоилглутамат  натрия,  лаурилглюкозкарбоксилат натрия и кокамфоацетат натрия (разрешены стандартом ECOCERT для натуральной и органической косметики).
</t>
  </si>
  <si>
    <t>Способ применения: используйте привычным для вас способом.
Противопоказания: аллергические реакции или индивидуальная непереносимость отдельных компонентов шампуня.</t>
  </si>
  <si>
    <t>https://disk.yandex.ru/d/YRAVc8PSV73GKA</t>
  </si>
  <si>
    <t>https://kleona.com/muzhchinam/shampuni-i-geli-dlya-dusha/shampun-toniziruyuwij-ukreplyayuwij/</t>
  </si>
  <si>
    <r>
      <t>Бальзам (</t>
    </r>
    <r>
      <rPr>
        <b/>
        <sz val="10"/>
        <color rgb="FFFF0000"/>
        <rFont val="Arial"/>
        <family val="2"/>
        <charset val="204"/>
      </rPr>
      <t>молочко</t>
    </r>
    <r>
      <rPr>
        <b/>
        <sz val="10"/>
        <rFont val="Arial"/>
        <family val="2"/>
        <charset val="204"/>
      </rPr>
      <t xml:space="preserve">) после бритья с экстрактами гамамелиса виргинского и эперуа серповидной, 100 мл  </t>
    </r>
    <r>
      <rPr>
        <b/>
        <sz val="10"/>
        <color rgb="FFFF0000"/>
        <rFont val="Arial"/>
        <family val="2"/>
        <charset val="204"/>
      </rPr>
      <t>НОВИНКА</t>
    </r>
  </si>
  <si>
    <t>ЕАЭС N RU Д-RU.РА06.В.57978/23</t>
  </si>
  <si>
    <t>https://disk.yandex.ru/i/AVzYuD8XsgEBkA</t>
  </si>
  <si>
    <t>16+</t>
  </si>
  <si>
    <t>свежий травяной</t>
  </si>
  <si>
    <t>108*38*38</t>
  </si>
  <si>
    <t>фылакон 100 мл натуральный матовый / дозатор черный кнопочный с фиксатором</t>
  </si>
  <si>
    <t>этикетка плннка (софтач) 135*44</t>
  </si>
  <si>
    <t xml:space="preserve">Действие: благодаря своему сбалансированному составу бальзам увлажняет и успокаивает кожу после бритья, предотвращает шелушение, обеспечивает длительное ощущение комфорта. Устраняет раздражение и покраснение кожи. Регулярное использование бальзама улучшает цвет лица, повышает  упругость и эластичность кожи. Легкий и приятный аромат придает ощущение свежести. 
Бальзам не содержит спирта, подходит для сухой и чувствительной кожи. Имеет легкую текстуру, быстро впитывается, не оставляет жирного блеска.
</t>
  </si>
  <si>
    <t xml:space="preserve">Состав: вода деионизированная, масло карите, экстракт зеленого чая, масло рисовых отрубей, масло оливковое, масло кукурузное, сорбит, цетеариловый спирт, натуральный полисахаридный влагоудерживающий комплекс, экстракт коры эперуа серповидной, экстракт ромашки лекарственной, фруктоза, растительный глицерин, экстракт гамамелиса виргинского, каприк/каприлик триглицериды, моно/дистеарат сахарозы, полиглицерил-3-метилглюкозы дистеарат, D-пантенол (провитамин В5), экстракт жимолости японской, бетаин свекольный, аллантоин, экстракт алоэ вера, ксантовая камедь, витамин Е (токоферола ацетат), витамин F (комплекс полиненасыщенных жирных кислот), молочная кислота, эфирное масло каяпута, парфюмерная отдушка. </t>
  </si>
  <si>
    <t xml:space="preserve">Способ применения: после бритья ополосните кожу прохладной водой, промокните полотенцем. Нанесите небольшое количество бальзама на ладони и распределите легкими похлопываниями по коже лица и шеи. </t>
  </si>
  <si>
    <t>Бальзам после бритья с маслами календулы, зверобоя и голубой ромашки (успокаивающий) в коробке, 50 мл</t>
  </si>
  <si>
    <t>ЕАЭС №RU Д-RU.РА04.В.19118/22</t>
  </si>
  <si>
    <t>https://disk.yandex.ru/d/1_7pDWz818Jl0g</t>
  </si>
  <si>
    <t>Цветочный</t>
  </si>
  <si>
    <t>флакон 50 мл стекло коричневый / 18/415 дозатор кремовый черный / колпачок ТУ черная/ коробка</t>
  </si>
  <si>
    <t xml:space="preserve">Натуральный бальзам для ухода за чувствительной  кожей.  Благодаря специально  подобранному  комплексу  лекарственных  растений (календула,  голубая  ромашка, зверобой,  крапива, алоэ)  быстро успокаивает  кожу, устраняет раздражение  и  зуд, ускоряет заживление  царапин и порезов. Масла  карите и виноградной косточки  делают кожу мягкой, защищают  ее от обезвоживания, уменьшают  чувствительность  к внешним неблагоприятным факторам. Бальзам быстро впитывается, не оставляет ощущения жирности. </t>
  </si>
  <si>
    <t>Состав:  вода  деионизированная, моно/дистеарат  сахарозы,  масло календулы, масло зверобоя, масло виноградной  косточки,  масло карите,  сорбит,  цетеариловый спирт,  фруктоза,  сквалан,  растительный  глицерин,  каприк/каприлик  триглицериды,  полиглицерил-3-метилглюкозы  дистеарат, экстракт алоэ  вера, экстракт крапивы, эфирное масло лаванды, эфирное масло голубой ромашки, пчелиный  воск,  масло  клещевины, экстракт  жимолости  японской, глицерил каприлат, витамин Е (токоферола  ацетат),  витамин  F  (комплекс  полиненасыщенных  жирных кислот), аллантоин, бисаболол.</t>
  </si>
  <si>
    <t>Способ применения: нанесите бальзам на кожу после бритья.</t>
  </si>
  <si>
    <t>https://disk.yandex.ru/d/dilF5RHtZqueiQ</t>
  </si>
  <si>
    <t>https://kleona.com/muzhchinam/bal-zamy-posle-brit-ya/bal-zam-posle-brit-ya-uspokaivayuwij-zazhivlyayuwij/</t>
  </si>
  <si>
    <t xml:space="preserve">Бальзам после бритья с облепихой, календулой и маслом грейпфрута (восстанавливающий) коробке, 50 мл </t>
  </si>
  <si>
    <t>цитрусовый</t>
  </si>
  <si>
    <t xml:space="preserve">Благодаря  высокому  содержанию масел алтайской облепихи и календулы  бальзам  эффективно  заживляет  порезы  и  царапины  на  коже, предотвращает  появление  воспалительных  процессов.  Питает, увлажняет  и  разглаживает  кожу, делает  её  мягкой,  упругой и эластичной. Препятствует  обезвоживанию,  уменьшает чувствительность кожи к внешним неблагоприятным факторам. Быстро впитывается, не оставляет ощущения жирности. При постоянном применении оздоравливает кожу. </t>
  </si>
  <si>
    <t>Состав:  вода  деионизированная, масло  оливковое,  масло  авокадо, масло карите, цетеариловый спирт, растительный  глицерин,  масло из ягод  облепихи  холодного  отжима, масло  календулы, растительный лецитин,  инулин  голубой  агавы, масло  пальмовое, полиглицерилстеарат/цитрат,  масло  кокосовое, масло клещевины, лактат натрия/калия,  эфирное  масло грейпфрута, эфирное масло апельсина, бензиловый  спирт, глицерил каприлат, аллантоин, эфирное масло лаванды, эфирное  масло  лайма,  витамин  Е (токоферола  ацетат),  витамин  F (комплекс  полиненасыщенных жирных кислот), камедь горохового дерева, ксантановая камедь.
Не содержит синтетических красителей, консервантов, отдушек и спирта.</t>
  </si>
  <si>
    <t>Способ применения: нанесите бальзам на кожу после бритья</t>
  </si>
  <si>
    <t>https://disk.yandex.ru/d/kw2O4B5EIlLVgg</t>
  </si>
  <si>
    <t>https://kleona.com/muzhchinam/bal-zamy-posle-brit-ya/bal-zam-posle-brit-ya-vosstanavlivayuwij-pitatel-nyj/</t>
  </si>
  <si>
    <t xml:space="preserve">Бальзам после бритья с хлорофиллом, ментолом и D-пантенолом (освежающий) в коробке, 50 мл </t>
  </si>
  <si>
    <t>свежий</t>
  </si>
  <si>
    <t>светло-зеленый</t>
  </si>
  <si>
    <t xml:space="preserve">Благодаря  натуральному  составу способствует  комфортному  завершению  процесса  бритья.  Эффективно  успокаивает  кожу,  предотвращает ее раздражение. Ускоряет заживление  мелких  царапин  и порезов.  Увлажняет  и  освежает кожу,  подтягивает,  сохраняет  ее упругость,  устраняет  шелушение. Быстро  впитывается,  не  оставляя липкости  и  ощущения  жирности. При постоянном применении придает коже здоровый и ухоженный вид. </t>
  </si>
  <si>
    <t>Состав:  вода  деионизированная, моно/дистеарат  сахарозы,  масло миндальных  косточек,  хлорофилл из листьев эвкалипта, масло календулы, масло карите, сорбит, цетеариловый спирт, фруктоза, сквалан, растительный глицерин, каприк/каприлик  триглицериды,  полиглицерил-3-метилглюкозы  дистеарат, ментол,  D-пантенол  (провитамин В5), эфирное масло лаванды, пчелиный  воск,  масло  клещевины, экстракт  жимолости  японской, глицерил  каприлат,  аллантоин, витамин  Е  (токоферола  ацетат), витамин  F  (комплекс  полиненасыщенных  жирных  кислот),  эфирное масло  иланг-иланга,  эфирное масло индийской мяты. 
Не содержит синтетических красителей, консервантов, отдушек и спирта.</t>
  </si>
  <si>
    <t>https://disk.yandex.ru/d/8xZjI2vQVVnf0Q</t>
  </si>
  <si>
    <t>https://kleona.com/muzhchinam/bal-zamy-posle-brit-ya/bal-zam-posle-brit-ya-osvezhayuwij-zazhivlyayuwij/</t>
  </si>
  <si>
    <t>Бальзам после бритья с эхинацеей, гамамелисом и маслом чайного дерева (противовоспалительный) в коробке, 50 мл</t>
  </si>
  <si>
    <t>с нотами чайного дерева</t>
  </si>
  <si>
    <t>бежевый</t>
  </si>
  <si>
    <t xml:space="preserve">Натуральный  бальзам  для  бережного ухода за нормальной, чувствительной  и  склонной  к  воспалению кожей.  Экстракты  гамамелиса, эхинацеи  и  масло  чайного  дерева способствуют  остановке  кровотечения при порезах, появившихся в процессе  бритья,  и  быстрому  их  заживлению.  Бальзам  уменьшает раздражение  кожи,  усиливает  ее защитные  свойства.  Растительные 
масла  придают  коже  мягкость  и эластичность,  предотвращают  ее быстрое обезвоживание. </t>
  </si>
  <si>
    <t xml:space="preserve">Состав:  вода  деионизированная, моно/дистеарат  сахарозы,  масло миндальных косточек, масло виноградной  косточки,  масло  оливковое,  экстракт  эхинацеи,  экстракт гамамелиса, масло карите, сорбит, цетеариловый  спирт,  фруктоза, сквалан,  растительный  глицерин, каприк/каприлик  триглицериды, полиглицерил-3-метилглюкозы дистеарат, экстракт алоэ вера, пчелиный  воск,  масло  клещевины, экстракт  жимолости  японской, глицерил  каприлат,  витамин  Е (токоферола  ацетат),  витамин  F (комплекс  полиненасыщенных жирных  кислот),  эфирное  масло чайного  дерева,  эфирное  масло шалфея,  эфирное  масло  лаванды, аллантоин, эфирное масло пачули. </t>
  </si>
  <si>
    <t xml:space="preserve">Применение:  нанести  бальзам  на кожу после бритья. </t>
  </si>
  <si>
    <t>https://disk.yandex.ru/d/bvDgxKNXguPY7w</t>
  </si>
  <si>
    <t>https://kleona.com/muzhchinam/bal-zamy-posle-brit-ya/bal-zam-posle-brit-ya-protivovospalitel-nyj-zazhivlyayuwij/</t>
  </si>
  <si>
    <t xml:space="preserve">Бальзам после бритья для кожи головы, 60 мл   </t>
  </si>
  <si>
    <t xml:space="preserve">Действие:  быстро  приводит  в  норму  кожу  головы  после  бритья. Помогает  заживить  порезы,  нейтрализует  раздражающее действие  на  кожу  средств  для  бритья  и  шампуней.  Делает  кожу 
мягкой и увлажненной, устраняет сухость и стянутость, успокаивает, предотвращает появление зуда и шелушения. Быстро впитывается,  не  оставляет  ощущения  жирности,  придает  коже приятный ненавязчивый аромат. 
</t>
  </si>
  <si>
    <t xml:space="preserve">Состав:  вода  деионизированная,  масло  календулы,  масло миндальной  косточки,  масло  виноградной  косточки,  масло карите, лецитин,  стеарат  сахарозы,  масло  жожоба,  цетеариловый  спирт, глицерин  растительного  происхождения,  D-пантенол,  глюкоза, каприк/каприлик  триглицериды,  холестерол,  батиловый  спирт, экстракт  ромашки  лекарственной,  экстракт  алоэ  вера,  эфирное масло лаванды, эфирное масло голубой ромашки, пчелиный воск, масло клещевины, экстракт жимолости японской, глицерилкаприлат, витамин Е (токоферола ацетат), витамин F (комплекс полиненасыщенных жирных кислот), аллантоин, бисаболол.
</t>
  </si>
  <si>
    <t xml:space="preserve">Применение: нанести бальзам на кожу головы после бритья или купания. </t>
  </si>
  <si>
    <t>https://disk.yandex.ru/d/mueAl4F7A7r3Nw</t>
  </si>
  <si>
    <t>https://www.kleona.com/muzhchinam/bal-zamy-dlya-kozhi-golovy/bal-zam-posle-brit-ya-dlya-kozhi-golovy/</t>
  </si>
  <si>
    <t xml:space="preserve">Лосьон после бритья, 90 мл    </t>
  </si>
  <si>
    <t>ЕАЭС N RU Д-RU.РА09.В.43413/22</t>
  </si>
  <si>
    <t>https://disk.yandex.ru/d/q8wgZ4x9KDSogQ</t>
  </si>
  <si>
    <t>древесный</t>
  </si>
  <si>
    <t>прозрачный желтоватый</t>
  </si>
  <si>
    <t xml:space="preserve">124*56*23 </t>
  </si>
  <si>
    <t>Эффективное  средство  для  завершения процесса бритья, классическая рецептура, усиленная гиалуроновой кислотой. Обладает выраженными тонизирующим, увлажняющим  и  антисептическим  свойствами. Снимает раздражение кожи после бритья, устраняет покраснение, ускоряет заживление микропорезов, предотвращает появление  воспалений.  Оставляет  ощущение чистоты и прохлады на лице, придает коже приятный запах, дарит свежесть и комфорт.</t>
  </si>
  <si>
    <t xml:space="preserve"> вода деионизированная, этиловый 
спирт  (18%  об.)  из  растительного  сырья, 
экстракт цветков ромашки лекарственной, 
экстракт цветков календулы, экстракт тыся-
челистника, глицерин растительного проис-
хождения, D-пантенол (витамин В5), бензиловый спирт, экстракт алоэ вера, экстракт ванили,  эфирное  масло  пачули,  отдушка парфюмированная  12KLE,  токоферола ацетат  (витамин  Е),  аллантоин,  гиалуроновая кислота.</t>
  </si>
  <si>
    <t>Способ применения: нанесите небольшое количество лосьона на ладони и распределите  легкими  похлопываниями  по  коже лица  и  шеи,  избегая  зоны  вокруг  глаз. В случае попадания лосьона в глаза немедленно промойте их проточной водой.</t>
  </si>
  <si>
    <t>https://disk.yandex.ru/d/PuLVILbl_JKU_A</t>
  </si>
  <si>
    <t>УХОД ЗА ТЕЛОМ</t>
  </si>
  <si>
    <t>Гель для душа "Апельсиновый", 100 мл</t>
  </si>
  <si>
    <t>ЕАЭС №RU Д-RU.НА38.В.02911/20</t>
  </si>
  <si>
    <t>https://disk.yandex.ru/d/NcItOKomVlTAgQ</t>
  </si>
  <si>
    <t>112*Ø46</t>
  </si>
  <si>
    <t>Гель с солнечным ароматом апельсина и невесомыми нотками садовой розы погрузит вас в мир ярких ощущений, подарит прилив сил и энергии. Обильная пена нежным прикосновением очистит тело и легко смоется, не нагружая лишними запахами, оставляя после себя ощущение чисто вымытой кожи. Натуральный экстракт цитрусовых отлично увлажнит и освежит вашу кожу, придаст ей мягкость и бархатистость.</t>
  </si>
  <si>
    <t>вода, кокосульфат натрия, алкилглюкозиды натрия, кокамфоацетат натрия, бетаин, глицерилолеат, глицерин растительного происхождения, лактат натрия, бензиловый спирт, глицерилкаприлат, стеарат сахарозы, экстракт плодов апельсина сладкого (Citrus aurantium dulcis), молочная кислота, эфирное масло апельсина, эфирное масло лимона, эфирное масло розы, эфирное масло лаванды.</t>
  </si>
  <si>
    <t>Способ применения:нанесите на влажную мочалку небольшое количество геля, вспеньте и распределите по телу. Смойте теплой водой.
Противопоказания: аллергические реакции на компоненты геля.</t>
  </si>
  <si>
    <t>https://disk.yandex.ru/d/geKBLibtgqLnAw</t>
  </si>
  <si>
    <t>https://kleona.com/dlya-dusha-i-bani/geli-dlya-dusha/natural-nyj-gel-dlya-dusha-apel-sinovyj/</t>
  </si>
  <si>
    <t>117*187*141</t>
  </si>
  <si>
    <t>Гель для душа "Кофейный", 100 мл</t>
  </si>
  <si>
    <t>Гель на основе кофе как нельзя лучше подойдет для того, чтобы начать свой день именно с него. Он порадует обильной пеной и приятным запахом черного кофе со сливочными и цветочными нотами. Гель прекрасно очищает и увлажняет кожу, заряжает ее энергией. Кофе – мощный антиоксидант, обладает противовоспалительными и укрепляющими свойствами, отлично тонизирует кожу.</t>
  </si>
  <si>
    <t>вода, кокосульфат натрия, алкилглюкозиды натрия, кокамфоацетат натрия, экстракт черного кофе, бетаин, глицерилолеат, глицерин растительного происхождения, лактат натрия, бензиловый спирт, глицерилкаприлат, стеарат сахарозы, молочная кислота, экстракт шоколада, экстракт ванили, эфирное масло розового дерева, эфирное масло герани, эфирное масло иланг-иланг.</t>
  </si>
  <si>
    <t>Способ применения: нанесите на влажную мочалку небольшое количество геля, вспеньте и распределите по телу. Смойте теплой водой.
Противопоказания: аллергические реакции на компоненты геля.</t>
  </si>
  <si>
    <t>https://disk.yandex.ru/d/vQaJRdHekzUACA</t>
  </si>
  <si>
    <t>https://kleona.com/dlya-dusha-i-bani/geli-dlya-dusha/natural-nyj-gel-dlya-dusha-kofejnyj/</t>
  </si>
  <si>
    <t>Гель для душа "Молочный", 100 мл</t>
  </si>
  <si>
    <t>Гель с легким весенним цветочно-ванильным ароматом. Нежный и невероятно женственный. Хорошо пенится, мягко очищает кожу, легко смывается, не сушит и не стягивает кожу, не оставляет после себя ощущение скользкости.</t>
  </si>
  <si>
    <t>вода, кокосульфат натрия, алкилглюкозиды натрия, кокамфоацетат натрия,  экстракт липы, экстракт ванили, бетаин, глицерилолеат,  протеины молока, глицерин растительного происхождения, лактат натрия, бензиловый спирт, глицерилкаприлат, стеарат сахарозы,  молочный сахар, молочная кислота, линалоол, стиракс (Liquidambar orientalis).</t>
  </si>
  <si>
    <t>https://disk.yandex.ru/d/MRT1ONuEXtjGAA</t>
  </si>
  <si>
    <t>https://kleona.com/dlya-dusha-i-bani/geli-dlya-dusha/natural-nyj-gel-dlya-dusha-molochnyj/</t>
  </si>
  <si>
    <t>Молочко для тела "Апельсиновое" увлажн., освеж., 100 мл</t>
  </si>
  <si>
    <t>Легкое молочко для ежедневного ухода за кожей тела. Натуральный экстракт цитрусовых освежает кожу, улучшает её цвет. Фруктовые кислоты активизируют иммунные процессы, оказывают антиоксидантное действие, замедляют процессы старения, стимулируют выработку коллагена,  повышают эластичность кожи и увлажняют её. Масла косточек миндаля, манго и оливы обеспечивают коже дополнительный уход: питают, придают ей мягкость и бархатистость.</t>
  </si>
  <si>
    <t>Состав: вода, масло миндальных косточек, масло манго, оливковое масло, полиглицерил-3 стеарат, кокосовое масло, масло кукурузных початков, цетеариловый спирт, экстракт плодов апельсина сладкого, глицерин, свекольный бетаин, бензиловый спирт, глицерилкаприлат, эфирное масло апельсина, D-лимонен природного происхождения, аллантоин, лимонная кислота, молочная кислота, яблочная кислота, янтарная кислота, гидрокарбонат натрия, a-токоферола ацетат (Витамин Е), эфирное масло розы, винная кислота.</t>
  </si>
  <si>
    <t>Способ применения: нанесите молочко на чистую кожу, легкими массирующими движениями втирайте до полного впитывания. Используйте по мере необходимости.
Противопоказания: аллергические реакции или индивидуальная непереносимость отдельных компонентов молочка.</t>
  </si>
  <si>
    <t>https://disk.yandex.ru/d/trNDCPaoXGZiaQ</t>
  </si>
  <si>
    <t>https://kleona.com/telo/molochko-dlya-tela/natural-noe-molochko-dlya-tela-apel-sinovoe/</t>
  </si>
  <si>
    <t>Молочко для тела " Кофейное" увлажн., тонизир., 100 мл</t>
  </si>
  <si>
    <t>https://disk.yandex.ru/i/E-iRDu8kLfwyCw</t>
  </si>
  <si>
    <t>Легкое молочко для ежедневного ухода за кожей тела. Содержит растительные протеины и натуральный увлажняющий комплекс на основе природных камедей. Кофеин активизирует обменные процессы, повышает тонус кожи, улучшает её цвет. Масло жожоба, богатое природными токоферолами, оказывает на кожу антиоксидантное действие, придает ей особую гладкость и упругость, сохраняет молодость кожи.</t>
  </si>
  <si>
    <t>Состав: вода, оливковое масло, масло Ши (Карите), масло Жожоба, полиглицерил-3 стеарат, кокосовое масло, масло кукурузных початков, экстракт черного кофе, цетеариловый спирт, глицерин, свекольный бетаин, бензиловый спирт, глицерилкаприлат, лактат натрия,  полисахаридная камедь, аллантоин, молочная кислота, экстракт шоколада, экстракт ванили, эфирное масло розового дерева, ксантовая камедь, эфирное масло герани.</t>
  </si>
  <si>
    <t>https://disk.yandex.ru/d/BknM5OpoAc7E1w</t>
  </si>
  <si>
    <t>https://kleona.com/telo/molochko-dlya-tela/natural-noe-molochko-dlya-tela-kofejnoe/</t>
  </si>
  <si>
    <t>Молочко для тела "Молочное" увлажн., смягчающ., 100 мл</t>
  </si>
  <si>
    <t>https://disk.yandex.ru/i/2tooRL1USJG7Pw</t>
  </si>
  <si>
    <t>Легкое молочко для ежедневного ухода за кожей тела. Содержит молочные протеины и натуральный комплекс на основе природных сахаров, которые обеспечивают длительное увлажнение кожи. Оливковое масло и масло карите имеют сбалансированный жирнокислотный состав и содержат высокий процент ценных неомыляемых веществ (фосфолипидов, фитостеринов, токоферолов, восков). Благодаря этому они питают и смягчают кожу, восстанавливают липидный барьер, делают кожу гладкой и ухоженной.</t>
  </si>
  <si>
    <t>Состав: вода, оливковое масло, масло Карите, полиглицерил-3 стеарат, кокосовое масло, масло кукурузных початков, цетеариловый спирт, мацерат ванили на кокосовом масле, протеины коровьего молока, глицерин, свекольный бетаин, бензиловый спирт, глицерилкаприлат, глюкоза, фруктоза, молочный сахар (лактоза), сорбит, аллантоин, линалоол, стиракс (Liquidambar orientalis), эфирное масло санда</t>
  </si>
  <si>
    <t>https://disk.yandex.ru/d/3iOc240CN4bAQQ</t>
  </si>
  <si>
    <t>https://kleona.com/telo/molochko-dlya-tela/natural-noe-molochko-dlya-tela-molochnoe/</t>
  </si>
  <si>
    <t xml:space="preserve">УХОД ЗА НОГАМИ                   </t>
  </si>
  <si>
    <t>Двухфазная эмульсия Охлаждающая для снятия усталости и отечности ног, 150 мл</t>
  </si>
  <si>
    <t>ЕАЭС N RU Д-RU.ТР06.В.06419/19</t>
  </si>
  <si>
    <t>https://disk.yandex.ru/d/Ju8xusBbR-zg3Q</t>
  </si>
  <si>
    <t>молочно-белый</t>
  </si>
  <si>
    <t>свежий ментоловый</t>
  </si>
  <si>
    <t>136*51*34</t>
  </si>
  <si>
    <t>флакон 150 мл ПЭТ белый П / 20/410 флип-топ белый / колпачок ТУ прозрачный</t>
  </si>
  <si>
    <t>Оказывает успокаивающее, освежающее действие, снимает ощущение тяжести и усталости ног. Улучшает кровообращение, оказывает противозастойное действие, уменьшает отечность ног. Оказывает противовоспалительное действие, уменьшает покраснение кожи. Снижает вероятность образования тромбов.</t>
  </si>
  <si>
    <t>Состав: вода, экстракт розмарина, глюкоза, полиглицерил-3-метилглюкозы дистеарат, экстракт полыни, экстракт донника, рисовое масло, касторовое масло, масло виноградной косточки, ментол, бензиловый спирт, бензойная кислота, сорбитанкаприлат,гидроксиэтилцеллюлоза, эфирное масло мяты перечной, эфирное масло розмарина, эфирное масло полыни, эфирное масло лаванды, молочная кислота.</t>
  </si>
  <si>
    <t>Способ применения: в конце дня, после работы, длительной прогулки, физической нагрузки нанесите эмульсию на кожу ног и равномерно распределите её лёгкими массажными движениями. Для ежедневного применения.</t>
  </si>
  <si>
    <t>https://disk.yandex.ru/d/wwgZR9u2_CTE7w</t>
  </si>
  <si>
    <t>https://kleona.com/telo/uhod-za-nogami/dvuhfaznaya-emul-siya-ohlazhdayuwaya-dlya-snyatiya-ustalosti-i-otechnosti-nog/</t>
  </si>
  <si>
    <t>Крем для ног  Увлажняющий, питательный, 75 мл</t>
  </si>
  <si>
    <t>лёгкий сладкий</t>
  </si>
  <si>
    <t>159*52*34</t>
  </si>
  <si>
    <t>туба 75 мл ПНД / 35 бушон флип-топ белый</t>
  </si>
  <si>
    <t xml:space="preserve">Это богатое по составу средство – превосходный по-
мощник для восстановления естественной увлажненно-
сти,  мягкости  и  эластичности  кожи  ног.    Защищая  кожу 
от неблагоприятных факторов, крем возвращает вашим 
ножкам ухоженный и здоровый вид. 
Натуральный полисахаридный комплекс и  аллантоин 
эффективно увлажняют кожу ног. Масло авокадо питает 
кожу ненасыщенными жирными кислотами (омега -6 и -9), 
витаминами A, E, D и группы B, нормализует кровообра-
щение,    способствует  глубокому  увлажнению,  возвра-
щая коже эластичность. Масло ши эффективно смягчает 
кожу ног, улучшает структуру кожи, помогает удерживать влагу. 
Экстракт алоэ вера запускает процессы восстановления, способству-
ет разглаживанию и омоложению кожи.  Экстракт цветов липы оказы-
вает на кожу смягчающее и успокаивающее действие, предупреждает 
шелушение. Экстракт тысячелистника помогает восстановить чувстви-
тельную кожу после обветривания или пересушивания. Экстракт кон-
ского каштана улучшает микроциркуляцию, обладает противовоспали-
тельным действием.
Витамин  F-комплекс  защищает  от  воздействия  свободных  радика-
лов, восстанавливает, смягчает  сухую и шелушащуюся кожу, придает 
ей здоровый вид. </t>
  </si>
  <si>
    <t>Состав: вода, масло ши, экстракт цветов липы, экстракт тысячелист-
ника,  цетеариловый  спирт,  каштан  конский  (экстракт),  масло  касторо-
вое, масло авокадо, натуральный полисахаридный влагоудерживающий 
комплекс, глицерин, комплекс природных полиненасыщенных жирных 
кислот (витамин F), бензиловый спирт, бензойная кислота, сорбитан ка-
прилат, аллантоин, углекислый калий, молочная кислота, эфирное мас-
ло розмарина, экстракт алоэ вера, пчелиный воск, гуаровая камедь, то-
коферола ацетат (витамин Е), ксантановая камедь, ретинола пальмитат 
(витамин А).</t>
  </si>
  <si>
    <t>Способ применения:
Используйте крем дважды в день, утром и вечером, наносите на чистую сухую кожу стоп.
При воспалении, микротравмах, мокнутии кожи стоп наносите крем только на здоровые участки кожи.</t>
  </si>
  <si>
    <t>https://disk.yandex.ru/d/-4BLoTfE1v4AnA</t>
  </si>
  <si>
    <t>https://kleona.com/telo/uhod-za-nogami/natural-nyj-krem-dlya-nog-uvlazhnyayuwij-i-pitatel-nyj/</t>
  </si>
  <si>
    <t>Крем  для ухода за диабетической стопой, 100 мл</t>
  </si>
  <si>
    <t xml:space="preserve">кремовый </t>
  </si>
  <si>
    <t>травяной</t>
  </si>
  <si>
    <t>146*51*29</t>
  </si>
  <si>
    <t>Флакон 100 мл стекло коричневый / 18/415 дозатор кремовый / колпачок ТУ белый</t>
  </si>
  <si>
    <t>Эффективно увлажняет сухую кожу стоп, делает кожу мягче и эластичней, снижает вероятность образования механических повреждений кожи. Улучшает состояние капилляров и кровеносных сосудов ступней, улучшает микроциркуляцию крови в стопе. Обладает бактерицидным и фунгицидным действием, способствует быстрому заживлению трещинок и ранок на стопе.</t>
  </si>
  <si>
    <t>Состав: вода, масло Ши, экстракт почек черного тополя, экстракт почек березы, экстракт тысячелистника, цетеариловый спирт, касторовое масло, масло авокадо, натуральный полисахаридный влагоудерживающий комплекс, глицерин, комплекс природных полиненасыщенных жирных кислот (витамин F), бензиловый спирт, бензойная кислота, сорбитанкаприлат, аллантоин, углекислый калий,  молочная кислота, эфирное масло можжевельника, эфирное масло розмарина, алоэ вера, пчелиный воск, гуаровая камедь, токоферола ацетат (витамин Е), ксантановая камедь.</t>
  </si>
  <si>
    <t>Используйте крем дважды в день, утром и вечером, наносите на чистую сухую кожу стоп.
При воспалении, микротравмах, мокнутии кожи стоп наносите крем только на здоровые участки кожи.</t>
  </si>
  <si>
    <t>https://disk.yandex.ru/d/0e5g5Wx5jqRwgw</t>
  </si>
  <si>
    <t>https://kleona.com/telo/uhod-za-nogami/natural-nyj-krem-dlya-nog-dlya-berezhnogo-uhoda-za-diabeticheskoj-stopoj/</t>
  </si>
  <si>
    <t>Восстанавливающий крем  для загрубевшей кожи ступней и от трещин на пятках, 60 мл</t>
  </si>
  <si>
    <t>луковый</t>
  </si>
  <si>
    <t>47*Ø64</t>
  </si>
  <si>
    <t>Банка 60 мл стекло коричневая / фольгированная запайка / крышка ПЭ черная</t>
  </si>
  <si>
    <t>Эффективно увлажняет сухую кожу стоп, делает кожу мягче и эластичней, ускоряет заживление трещин на пятках, уменьшает образование натоптышей, при регулярном применении защищает кожу от потери влаги и пересыхания.</t>
  </si>
  <si>
    <t>Состав: луковое масло, вода, какао-масло, масло Ши, желтый пчелиный воск, масло авокадо, алтайское облепиховое масло прямого отжима, стеарат сахарозы, лецитин, дистеарат сахарозы, цетеариловый спирт, комплекс природных полиненасыщенных жирных кислот (витамин F), глицерилкаприлат, углекислый калий, молочная кислота, токоферола ацетат (витамин Е).</t>
  </si>
  <si>
    <t>Способ применения: наносите дважды в день на чистую сухую кожу проблемных участков кожи стоп. При сильном загрубении кожи и глубоких трещинах на пятках сделатйте процедуру педикюра, аккуратно удалите загрубевшие края трещин с помощью пемзы. После восстановления кожи использовать по мере необходимости для поддержания ее здорового состояния.</t>
  </si>
  <si>
    <t>https://disk.yandex.ru/d/VoX3weQ0d7kocA</t>
  </si>
  <si>
    <t>https://kleona.com/telo/uhod-za-nogami/natural-nyj-zhirnyj-krem-dlya-zagrubevshej-kozhi-stupnej-i-ot-trewin-na-pyatkah/</t>
  </si>
  <si>
    <t>Двухфазная эмульсия-дезодорант для устранения потливости и запаха ног, 100 мл</t>
  </si>
  <si>
    <t xml:space="preserve">растительный свежий </t>
  </si>
  <si>
    <t>флакон 100 мл ПЭТ белый / 20/410 дозатор кремовый белый / колпачок натуральный</t>
  </si>
  <si>
    <t>Легко впитывается, не оставляя ощущения жирности кожи, уменьшает излиишнее потение ног, дезодорирует кожу, препятствует появлению неприятного запаха.</t>
  </si>
  <si>
    <t>Состав: вода, экстракт коры дуба, экстракт коры ивы, экстракт листьев березы, экстракт чабреца, полиглицерил-3-метилглюкозы дистеарат, рисовое масло, бензиловый спирт, бензойная кислота, сорбитанкаприлат, гидроксиэтилцеллюлоза, эфирное масло мяты, эфирное масло эвкалипта, эфирное масло чайного дерева, сосновое масло, эфирное масло чабреца, молочная кислота.</t>
  </si>
  <si>
    <t>Способ применения: наносите крем утром и вечером на чистую сухую кожу ног, до полного впитывания</t>
  </si>
  <si>
    <t>https://disk.yandex.ru/d/QYsCNdjrn062yA</t>
  </si>
  <si>
    <t>https://kleona.com/telo/uhod-za-nogami/dvuhfaznaya-emul-siya-dlya-ustraneniya-potlivosti-i-zapaha-nog/</t>
  </si>
  <si>
    <r>
      <t xml:space="preserve">Органические ГИДРОЛАТЫ  </t>
    </r>
    <r>
      <rPr>
        <b/>
        <sz val="10"/>
        <color indexed="10"/>
        <rFont val="Arial"/>
        <family val="2"/>
        <charset val="204"/>
      </rPr>
      <t xml:space="preserve"> с 1 ноября в ПЛАСТИКОВОЙ таре!</t>
    </r>
  </si>
  <si>
    <t>4627186340100</t>
  </si>
  <si>
    <t xml:space="preserve">Аир, 100 мл   </t>
  </si>
  <si>
    <t>ЕАЭС №RU Д-RU.НА39.В.03607/20</t>
  </si>
  <si>
    <t>https://disk.yandex.ru/d/g9FwGBLGTyitnA</t>
  </si>
  <si>
    <t>148*38*38</t>
  </si>
  <si>
    <t>флакон 100 мл коричневый стекло / 18/415 распылитель черный с колпачком / колпачок ТУ черный</t>
  </si>
  <si>
    <t xml:space="preserve">Действие:
Хорошо очищает, увлажняет и тонизирует кожу. Обеспечивает эффективный уход за жирной, комбинированной и проблемной кожей. Обладает мягким вяжущим и противовоспалительным действием, уменьшает жирность кожи, сужает поры, помогает справиться с высыпаниями на лице.
Усиливает микроциркуляцию и ускоряет процессы регенерации и заживления. 
Рекомендуется для ухода за кожей головы: уменьшает жирность, помогает справиться с зудом и образованием перхоти, укрепляет корни волос и уменьшает их выпадение.
</t>
  </si>
  <si>
    <t>Состав: 100% органический продукт паровой дистилляции корней аира (Ácorus cálamus).</t>
  </si>
  <si>
    <t>Применение: распыляйте на кожу по мере необходимости; для очищения используйте ватный диск, обильно смоченный гидролатом. Распыляйте на корни волос после каждого мытья головы.</t>
  </si>
  <si>
    <t>https://disk.yandex.ru/d/3nv9hE-qQs6n-w</t>
  </si>
  <si>
    <t>https://www.kleona.com/lico/gidrolaty/gidrolat-aira/</t>
  </si>
  <si>
    <t>4627186340063</t>
  </si>
  <si>
    <t xml:space="preserve">Бессмертник, 100 мл   </t>
  </si>
  <si>
    <t xml:space="preserve">Действие: Гидролат бессмертника подходит для всех типов кожи, особенно для возрастной, чувствительной и склонной к раздражению. Прекрасно увлажняет и тонизирует кожу, делает ее более упругой. Эффективно успокаивает кожу, уменьшает покраснение и воспаление на лице. Мягко очищает и придает чувство свежести, удаляет остатки водорастворимой косметики. Хорошая увлажняющая основа под макияж. Обладает  антисептическими и регенерирующими свойствами. Ускоряет восстановление после пилинга, депиляции и повреждений кожи.
Противопоказания: аллергические реакции.
</t>
  </si>
  <si>
    <t>Состав: 100% органический продукт паровой дистилляции соцветий и травы бессмертника (Helichrýsum arenárium).</t>
  </si>
  <si>
    <t>Применение: для увлажнения распылять на кожу 2-3 раза в день; для очищения использовать ватный диск, обильно смоченный гидролатом; для компресса ватный диск положить на очищенную кожу на 5-7 минут.</t>
  </si>
  <si>
    <t>https://disk.yandex.ru/d/ajqB0B2TFVvsHw</t>
  </si>
  <si>
    <t>https://www.kleona.com/lico/gidrolaty/gidrolat-bessmertnika/</t>
  </si>
  <si>
    <t>Зеленый чай, 100 мл</t>
  </si>
  <si>
    <t>Гидролат бессмертника</t>
  </si>
  <si>
    <t>продукт паровой дистилляции ли-
стьев зеленого чая (Camellia sinensis).</t>
  </si>
  <si>
    <t>Применение: для увлажнения распылять на
кожу 2-3 раза в день; для очищения использо-
вать ватный диск, обильно смоченный гидрола-
том; для компресса ватный диск положить на
очищенную кожу век на 5-7 минут.</t>
  </si>
  <si>
    <t>https://disk.yandex.ru/d/9NVAKPPgebgcGg</t>
  </si>
  <si>
    <t>https://kleona.com/lico/gidrolaty/gidrolat-zelenogo-chaya/</t>
  </si>
  <si>
    <t>Василек, 100 мл</t>
  </si>
  <si>
    <t>Подходит для всех типов кожи, особенно для возрастной, чувствительной и склонной к раздражению. Прекрасно увлажняет и тонизирует кожу, делает ее более упругой. Эффективно успокаивает кожу, уменьшает покраснение и воспаление на лице. Мягко очищает и придает чувство свежести, удаляет остатки водорастворимой косметики. Хорошая увлажняющая основа под макияж. Обладает  антисептическими и регенерирующими свойствами. Ускоряет восстановление после пилинга, депиляции и повреждений кожи.</t>
  </si>
  <si>
    <t>https://disk.yandex.ru/d/fkcltCwzuogkcQ</t>
  </si>
  <si>
    <t>Имбирь, 100 мл</t>
  </si>
  <si>
    <t>Противопоказания: аллергические реакции.</t>
  </si>
  <si>
    <t>продукт паровой дистилляции кор-
невища имбиря (Zingiber officinale).</t>
  </si>
  <si>
    <t>Применение: распыляйте на кожу или во-
лосы по мере необходимости; для очищения
используйте ватный диск, смоченный в гидро-
лате</t>
  </si>
  <si>
    <t>https://disk.yandex.ru/d/srQZRF_yNYBj2Q</t>
  </si>
  <si>
    <t>https://kleona.com/lico/gidrolaty/gidrolat-imbirya/</t>
  </si>
  <si>
    <t xml:space="preserve">Календула, 100 мл    </t>
  </si>
  <si>
    <t xml:space="preserve">Действие: Гипоаллергенное средство для ежедневного умывания и увлажнения. Подходит для всех типов кожи, особенно для детской, сухой, чувствительной и при гиперкератозе (гусиной коже). Прекрасно насыщает влагой и поддерживает упругость кожи, восстанавливает ее мягкость и эластичность. Хорошо успокаивает кожу, уменьшает покраснение и раздражение на коже, помогает при шелушении. Обладает матирующим действием. 
Предупреждает и уменьшает воспалительные реакции на коже после депиляции и бритья. Рекомендуется для обработки кожи младенца под подгузник.
</t>
  </si>
  <si>
    <t>Состав: 100% органический продукт паровой дистилляции цветков календулы (Caléndula officinális).</t>
  </si>
  <si>
    <t>Применение: распыляйте на кожу по мере необходимости; для очищения используйте ватный диск, обильно смоченный гидролатом.</t>
  </si>
  <si>
    <t>https://disk.yandex.ru/d/DklRb70wq9pihQ</t>
  </si>
  <si>
    <t>https://www.kleona.com/lico/gidrolaty/gidrolat-kalenduly/</t>
  </si>
  <si>
    <t xml:space="preserve">Калина, 100 мл     </t>
  </si>
  <si>
    <t>Действие: Эффективно увлажняет и восстанавливает упругость кожи, тонизирует и наполняет ее жизненной энергией. Благодаря полифенолам оказывает интенсивное антиоксидантное действие, омолаживает кожу и улучшает цвет лица. Способствует сужению и укреплению капилляров, уменьшению проявления купероза. Сильнейший природный антисептик, помогает справиться с высыпаниями на лице. Благодаря кислому рН повышает защитные свойства кожи. Обладает отбеливающим действием, осветляет веснушки и пигментные пятна.</t>
  </si>
  <si>
    <t>Состав: 100% органический продукт паровой дистилляции ягод калины (Viburnum opulus).</t>
  </si>
  <si>
    <t>Способ применения: для увлажнения распыляйте на кожу 2-3 раза в день; для очищения используйте ватный диск, обильно смоченный.</t>
  </si>
  <si>
    <t>https://disk.yandex.ru/d/W6dZK5Vpj7z0OQ</t>
  </si>
  <si>
    <t>https://www.kleona.com/lico/gidrolaty/gidrolat-kaliny1/</t>
  </si>
  <si>
    <t xml:space="preserve">Кипарис, 100 мл  </t>
  </si>
  <si>
    <t xml:space="preserve">Действие: Прекрасно освежает и тонизирует кожу, насыщает влагой, вос- станавливает ее упругость и эластичность. Подходит для всех типов кожи, особенно для жирной и комбинированной, с расширенными по- рами и при куперозе. Природный антиоксидант, обеспечивает детокс эффект, уменьшает отечность (пастозность) кожи лица и вокруг глаз.
Нормализует работу сальных желез, сужает поры. Благодаря бактерицидным свойствам улучшает сос- тояние кожи при  акне. Снижает жирность кожи голо- вы  у  корней, увлажняет волосы, придаёт им здоровый блеск и шелковистость, улучшает рост волос.
</t>
  </si>
  <si>
    <t>Состав: 100% органический продукт паровой дистилляции молодых побегов кипариса (Cupressus sempervirens).</t>
  </si>
  <si>
    <t xml:space="preserve">Способ применения: для увлажнения распыляйте на кожу лица и корни волос 2-3 раза в день; для очищения используйте ватный диск, обильно смоченный гидролатом; для компресса ватный диск положите на очищенную кожу на 5-7 минут. Противопоказания: аллергические реакции.
Не рекомендуется использовать гидролат кипариса в период беременности, при эпилепсии, а также детям до 6 летнего возраста.
</t>
  </si>
  <si>
    <t>https://disk.yandex.ru/d/uvuPXVBNYWdRZA</t>
  </si>
  <si>
    <t>https://www.kleona.com/lico/gidrolaty/gidrolat-kiparisa/</t>
  </si>
  <si>
    <t>Кориандр, 100 мл</t>
  </si>
  <si>
    <t>с терпким ароматом специй. Подходит для любого типа кожи. Деликатно очищает, увлажняет, дезодорирует и придает чувство свежести. Хорошо  подготавливает кожу для  нанесения кремов или масок. Природный антиоксидант, оказывает омолаживающее действие на зрелую кожу, улучшает цвет лица. Тонизирует, повышает эластичность и разглаживает кожу, придает ей бархатистость. Рекомендован для комбинированной и проблемной кожи: нормализует секрецию сальных желез, очищает и сужает поры, стимулирует кровообращение в капиллярах. Обладает антисептическими свойствами, уменьшает воспаления, ускоряет заживление прыщиков.</t>
  </si>
  <si>
    <t>продукт паровой дистилляции семян
кориандра (Coriandrum sativum) с Крымского
побережья.</t>
  </si>
  <si>
    <t>Применение: распыляйте на кожу по мере
необходимости; для очищения используйте
ватный диск, смоченный в гидролате; можно
использовать как дезодорант.</t>
  </si>
  <si>
    <t>https://disk.yandex.ru/d/zPfK-l5GyVRZ3w</t>
  </si>
  <si>
    <t>https://kleona.com/lico/gidrolaty/gidrolat-koriandra/</t>
  </si>
  <si>
    <t>Лаванда, 100 мл</t>
  </si>
  <si>
    <t>лавандовый</t>
  </si>
  <si>
    <t>с легким травяным ароматом. Прекрасное увлажняющее средство для любого типа кожи,  особенно нежной и чувствительной. Для ежедневного умывания и деликатного очищения кожи. Уменьшает раздражение, устраняет покраснения, снимает зуд (в том числе после укусов насекомых). Устраняет признаки усталости и стресса, придает коже свежий, отдохнувший вид. Обладает заживляющими и регенерирующими свойствами. Успокаивает и смягчает кожу после бритья. Прекрасный кондиционер для волос: смягчает, придает блеск и эластичность, облегчает расчесывание (особенно кудрявых волос).</t>
  </si>
  <si>
    <t>продукт паровой дистилляции
цветков и зеленой части лаванды (Lavandula
angustifolia) с Крымского побережья.</t>
  </si>
  <si>
    <t>https://disk.yandex.ru/d/-84iuu2BH9qJDA</t>
  </si>
  <si>
    <t>https://kleona.com/lico/gidrolaty/gidrolat-lavandy/</t>
  </si>
  <si>
    <t xml:space="preserve">Мята, 100 мл      </t>
  </si>
  <si>
    <t>Действие: Гидролат мяты благодаря ментолу, содержащемуся в мяте, благотворно влияет на уставшую, с пониженным тонусом кожу лица и зоны декольте, делает ее более упругой и подтянутой. Бережно очищает и успокаивает жирную, раздраженную кожу, в том числе чувствительную. Отлично освежает и дезодорирует кожу лица и тела в течение дня, придает блеск и легкий аромат волосам. При распылении на лицо – эффективное средство от укачивания и плохого самочувствия в транспорте. Мягко охлаждает и заживляет кожу после солнечных ожогов, бритья и депиляции.</t>
  </si>
  <si>
    <t>Состав: 100% органический продукт паровой дистилляции листьев и соцветий мяты перечной (Mentha piperita).</t>
  </si>
  <si>
    <t>Применение: распыляйте на кожу лица, тела и корни волос по мере необходимости; для очищения используйте ватный диск, обильно смоченный гидролатом.</t>
  </si>
  <si>
    <t>https://disk.yandex.ru/d/Nxb3fpdQpIF57A</t>
  </si>
  <si>
    <t>https://www.kleona.com/lico/gidrolaty/gidrolat-myaty/</t>
  </si>
  <si>
    <t>Петрушка, 100 мл</t>
  </si>
  <si>
    <t>прозранчый</t>
  </si>
  <si>
    <t>с освежающим ароматом петрушки. Для ежедневного умывания и ухода за кожей вокруг глаз. Деликатно очищает и удаляет остатки водорастворимой косметики. Успокаивает, снимает раздражение  и покраснение, устраняет следы усталости, отечность,  темные круги под глазами. Приятно увлажняет, придает ощущение свежести и комфорта. Разглаживает кожу, тонизирует и восстанавливает упругость. Природный антиоксидант, омолаживает и улучшает цвет лица, осветляет кожу (в том числе веснушки). Обладает антисептическим и противовоспалительным действием.</t>
  </si>
  <si>
    <t>продукт паровой дистилляции зеле-
ной части и корневища петрушки (Petroselinum
sativum).</t>
  </si>
  <si>
    <t>https://disk.yandex.ru/d/HOCItPTpkaQqwg</t>
  </si>
  <si>
    <t>https://kleona.com/lico/gidrolaty/gidrolat-petrushki/</t>
  </si>
  <si>
    <t xml:space="preserve">Полынь горькая, 100 мл   </t>
  </si>
  <si>
    <t>ЕАЭС №RU Д-RU.НА38.В.06369/20</t>
  </si>
  <si>
    <t>https://disk.yandex.ru/d/6SqzkkrHbCkTiw</t>
  </si>
  <si>
    <t>Гидролат с неповторимым терпким ароматом
и ноткой горечи. Оказывает бактерицидное,
противовоспалительное действием, уменьша-
ет угревую сыпь. Регулирует секрецию саль-
ных желез, обладает матирующим и поросу-
живающим действием. Мощный антиоксидант,
укрепляет и тонизирует кожу, улучшает цвет
лица. После бритья, депиляции смягчает и
успокаивает кожу. Уменьшает жирность волос
при регулярном нанесении на кожу головы.
Отличный природный репеллент, снимает зуд
и раздражение после укусов насекомых.</t>
  </si>
  <si>
    <t>100% органический продукт паровой
дистилляции соцветий, листьев и стеблей горь-
кой полыни (Artemisia absinthium) сельхозуго-
дий Поволжья.</t>
  </si>
  <si>
    <t>https://kleona.com/lico/gidrolaty/gidrolat-polyni/</t>
  </si>
  <si>
    <t>Роза, 100 мл</t>
  </si>
  <si>
    <t>розовый</t>
  </si>
  <si>
    <t xml:space="preserve">с тонким ароматом свежих роз. Деликатное средство для любого типа кожи и для любого возраста. Благодаря мягкому действию рекомендуется для ежедневного умывания лица и зоны декольте. Интенсивно увлажняет, смягчает и успокаивает кожу, уменьшает признаки стресса, улучшает цвет лица. Омолаживает, повышает тонус и эластичность кожи, придает ей приятную бархатистость. Мягко очищает и придает чувство свежести, удаляет остатки водорастворимой косметики. Хорошая увлажняющая основа под макияж. Обладает  антисептическими и регенерирующими свойствами. При нанесении на волосы увлажняет, смягчает и придает красивый блеск. </t>
  </si>
  <si>
    <t>продукт паровой дистилляции цве-
тов розы (Rosa gallica) с Крымского побережья.</t>
  </si>
  <si>
    <t>https://disk.yandex.ru/d/9h8_Guy9Y1XzMw</t>
  </si>
  <si>
    <t>https://kleona.com/lico/gidrolaty/gidrolat-rozy/</t>
  </si>
  <si>
    <t>Ромашка, 100 мл</t>
  </si>
  <si>
    <t>цветов ромашки</t>
  </si>
  <si>
    <t>прекрасное очищающее средство для сухой, чувствительной кожи (в том числе детской) и кожи, склонной к аллергическим реакциям. Глубоко увлажняет и смягчает кожу, уменьшает шелушение. Эффективно успокаивает, снимает зуд, раздражение  и покраснение. Обладает бактерицидным и противовоспалительным действием, предупреждает и уменьшает  воспалительные реакции на коже после депиляции и бритья. Природный антисептик. Прекрасная увлажняющая основа под макияж, особенно в летний период.</t>
  </si>
  <si>
    <t>продукт паровой дистилляции
цветков и зеленой части ромашки (Matricаria
chamomilla) с Крымского побережья.</t>
  </si>
  <si>
    <t>https://disk.yandex.ru/d/9qP34ycJYp25pg</t>
  </si>
  <si>
    <t>https://kleona.com/lico/gidrolaty/gidrolat-romashki/</t>
  </si>
  <si>
    <t>Смородина, 100 мл</t>
  </si>
  <si>
    <t>с бодрящим фруктово-древесным ароматом. Для любой кожи, особенно сухой и чувствительной. Обладает тонизирующим, антиоксидантным и сосудоукрепляющим действием. Освежает_x0003_и увлажняет кожу, придает ей упругость и бархатистость. Способствует регенерации, устраняет признаки усталости и стресса. Осветляет и вы-_x0003_равнивает цвет лица. Является хорошей увлажняющей основой под крем и макияж. При нанесении на кожу головы увлажняет, придает чувство комфорта, дарит волосам блеск и легкий аромат.</t>
  </si>
  <si>
    <t>Состав: 100% органический продукт паровой дистилляции листьев и ягод черной смородины (Ribes nigrum) сельхозугодий Поволжья.</t>
  </si>
  <si>
    <t>Применение: распыляйте на кожу или волосы по мере необходимости; для очищения используйте ватный диск, смоченный в гидролате.</t>
  </si>
  <si>
    <t>https://disk.yandex.ru/d/AIKfq5QaeFaGzA</t>
  </si>
  <si>
    <t>https://www.kleona.com/lico/gidrolaty/gidrolat-smorodiny/</t>
  </si>
  <si>
    <t>Чабрец, 100 мл</t>
  </si>
  <si>
    <t>аромат чабреца</t>
  </si>
  <si>
    <t>Гидролат чабреца с терпким травянистым ароматом. Деликатно очищает, увлажняет, освежает  и успокаивает кожу. Обладает вяжущим действием, нормализует секрецию сальных желез и оказывает легкое матирующее действие. Улучшает состояние кожи: сужает поры, тонизирует, придает приятную бархатистость и выравнивает цвет лица. Обеспечивает эффективный уход за комбинированной, жирной и проблемной кожей. Обладает антисептическими свойствами, компрессы с гидролатом устраняет мелкие прыщики на лице и предотвращает появление новых. При вечернем умывании удаляет остатки косметических средств. Хорошая увлажняющая основа перед нанесением крема в  летнее время.</t>
  </si>
  <si>
    <t>продукт паровой дистилляции зеле-
ной части чабреца (Thymus serpyllum).</t>
  </si>
  <si>
    <t>https://disk.yandex.ru/d/NoWJEDl59IH_Tw</t>
  </si>
  <si>
    <t>https://kleona.com/lico/gidrolaty/gidrolat-chabreca/</t>
  </si>
  <si>
    <t xml:space="preserve">Шалфей мускатный, 100 мл    </t>
  </si>
  <si>
    <t>Гидролат с освежающим травяным арома-
том. Наполняет энергией зрелую, уставшую
кожу. Мягко очищает, повышает ее упругость,
освежает и улучшает цвет лица. Усиливает эф-
фективность любых косметических средств
за счет того, что кожа становится к ним более
восприимчива. Обладает бактерицидным, про-
тивовоспалительным и заживляющим действи-
ем, в том числе после бритья. Нормализует
себорегуляцию, сужает поры, придает коже
матовость. Оздоравливает кожу головы, стиму-
лирует рост волос.</t>
  </si>
  <si>
    <t>100% органический продукт паро-
вой дистилляции соцветий шалфея мускатного
(Salvia sclarea) сельхозугодий Поволжья.</t>
  </si>
  <si>
    <t>https://disk.yandex.ru/d/jbf_sJOD8Kdlcw</t>
  </si>
  <si>
    <t>https://kleona.com/lico/gidrolaty/gidrolat-shalfeya-muskatnogo/</t>
  </si>
  <si>
    <t xml:space="preserve">Яблоко, 100 мл  </t>
  </si>
  <si>
    <t>Гидролат с нежным ароматом яблочного
чая. Органическое средство для ежедневного
ухода за любым типом кожи. Благодаря фрук-
товым поликислотам хорошо и мягко очищает
кожу и поры, тонизирует, имеет благоприят-
ный для кожи pH, регулирует работу сальных
желез. Обеспечивает чувство увлажненности
и комфорта, придает коже мягкость и барха-
тистость. Обладает антиоксидантным действи-
ем, улучшает кожное дыхание, освежает цвет
лица. Является хорошей основой под крем или
макияж. Прекрасный кондиционер для волос
и кожи головы. Придает волосам гладкость,
блеск и легкий аромат.</t>
  </si>
  <si>
    <t>100 % органический продукт паро-
вой дистилляции плодов Яблони домашней
(Malus domestica). В зависимости от cорта ги-
дролат имеет разные оттенки аромата.</t>
  </si>
  <si>
    <t>https://disk.yandex.ru/d/-XKOEXleCycg1g</t>
  </si>
  <si>
    <t>https://kleona.com/lico/gidrolaty/gidrolat-yabloka/</t>
  </si>
  <si>
    <t>БАЛЬЗАМЫ ДЛЯ ГУБ</t>
  </si>
  <si>
    <t>Бальзам для губ "Облепиха" (восстанавливающий), 10 мл</t>
  </si>
  <si>
    <t> мультифункциональный бальзам для ежедневного ухода за кожей губ. Содержит масло алтайской облепихи, которое прекрасно питает кожу губ и способствует быстрому заживлению воспалений и ранок на губах и коже вокруг них. Масло ши и масло авокадо смягчают и разглаживают кожу, повышают ее эластичность. Пчелиный воск и сквалан поддерживают гидролипидный баланс кожи. При регулярном применении бальзам возвращает губам молодость, увеличивает их объем и упругость, разглаживает морщинки на губах.</t>
  </si>
  <si>
    <t>масло ши, пчелиный воск, масло какао, масло кокосовое, масло авокадо, сквалан, масло алтайской высокогорной облепихи холодного отжима, комплекс ненасыщенных (омега-3, омега-6) жирных кислот (витамин Р), эфирное масло розы, токоферола ацетат (витамин Е).</t>
  </si>
  <si>
    <t>наносите бальзам тонким слоем на пораженные участки кожи губ 4-5 раз в день.</t>
  </si>
  <si>
    <t>https://disk.yandex.ru/d/t7n4aL5YQXom3Q</t>
  </si>
  <si>
    <t>https://www.kleona.com/lico/dlya-gub/bal-zam-dlya-gub-oblepiha-pitanie-vosstanovlenie/</t>
  </si>
  <si>
    <t>Бальзам для губ "Роза" (увлажняющий), 10 мл</t>
  </si>
  <si>
    <t>Бальзам для ежедневного ухода за губами
с приятным ароматом розы. Длительно увлаж-
няет и смягчает кожу губ, делает ее гладкой
и упругой, придает губам выразительность,
легкое сияние и приятный блеск. С этим баль-
замом ваши губы всегда будут выглядеть ухо-
женными и привлекательными.</t>
  </si>
  <si>
    <t>масло ши, пчелиный воск, масло
какао, масло манго, масло рисовое, масло кле-
щевины, канделильский воск, экстракт шал-
фея, масло авокадо, сквалан, масло Жожоба,
эфирное масло розы, токоферола ацетат (ви-
тамин Е), кармин.</t>
  </si>
  <si>
    <t>https://disk.yandex.ru/d/ic2CQOcQ1E5uyQ</t>
  </si>
  <si>
    <t>https://www.kleona.com/lico/dlya-gub/bal-zam-dlya-gub-roza-pridayuwij-blesk/</t>
  </si>
  <si>
    <t>ТВЕРДЫЕ КРЕМЫ (массажные плитки)</t>
  </si>
  <si>
    <t>"Жардин"  по 1 шт (цветок), 15г</t>
  </si>
  <si>
    <t>15 г</t>
  </si>
  <si>
    <t>ЕАЭС №RU Д-RU.НА38.В.02869/20</t>
  </si>
  <si>
    <t>https://disk.yandex.ru/d/sDrK95TvKwABvw</t>
  </si>
  <si>
    <t>44*87*26</t>
  </si>
  <si>
    <t>Твердый крем «Жардин» изготовлен из натуральных растительных и эфирных масел. Оформлен в виде массажной плитки белого цвета с нежным цветочно-ванильным ароматом. Является прекрасным средством для ухода за кожей в любое время года.
Основным активным компонентом крема является инфузное масло корня солодки, которое восстанавливает и регулирует обменные процессы в клетках, тормозит процессы старения и улучшает естественное увлажнение кожи. Масло солодки обладает хорошей проницаемостью через мембраны клеток и характеризуется мягким фармакологическим действием, отсутствием побочных эффектов и возможностью длительного и безопасного применения. Еще одним замечательным свойством корня солодкиявляется его способность усиливать действие других биологически-активных субстанций, входящих в сбор.
Синергетическая смесь эфирных масел снимает усталость, успокаивает кожу, ускоряет ее восстановление. Масла манго и Ши уменьшают дряблость и морщинистость кожи, повышают ее мягкость, делают кожу светлой и эластичной. Пчелиный воск защищает кожу от обезвоживания.
Нанесенный на увлажненную кожу, крем полностью впитывается за считанные минуты, не оставляя после себя ощущения жирности и липкости.
Рекомендуется для ухода за сухой и чувствительной кожей.
Крем полностью натурален. Не содержит синтетических отдушек, красителей и консервантов.</t>
  </si>
  <si>
    <t>масло Ши, масло манго, какао-масло, рисовое масло, пчелиный воск, инфузное масло солодки (Glycyrrhíza), масло шиповника, эфирное масло петигрейна (Citrus bigaradia L.), эфирное масло лаванды (LavandulaofficinalisChaix.), эфирное масло шалфея мускатного (Salvia officinalis L.), мацерат ванили (Vanilla planifolia),ретинола ацетат (витамин А), токоферола ацетат (витамин Е).</t>
  </si>
  <si>
    <t>Способ применения: Позвольте плитке растаять между теплыми ладонями и легкими массажными движениями нанесите масло на чистую увлажненную кожу. Подождите несколько минут пока крем полностью впитается. Избыток удалите сухой салфеткой.
Эффект от применения крема увеличится, если сразу после нанесения крема сделать легкий массаж данного участка кожи или вбить крем кончиками пальцев до полного впитывания.
Используйте крем 1 раз в сутки. Более частое применение крема может привести к обратному эффекту (появлению сухости).
Крем содержит легкоокисляющиеся компоненты. Во избежание снижения его эффективности сразу после покупки поместите крем в закрывающуюся стеклянную или пастиковую емкость и храните крем в прохладном месте вдали от света, лучше всего – в холодильнике. Не покупайте крем впрок, используйте его сразу после покупки. Только при соблюдении всех этих рекомендаций крем оправдает все ваши ожидания и принесет и пользу, и радость.
Противопоказания: аллергическая реакция или индивидуальная непереносимость компонентов крема, эпилепсия, беременность.</t>
  </si>
  <si>
    <t>https://disk.yandex.ru/d/8AvP2RDyL_sOTw</t>
  </si>
  <si>
    <t>https://kleona.com/telo/tverdye-kremy/tverdyj-krem-zhardin/</t>
  </si>
  <si>
    <t>"Коктебель"  по 1 шт (цветок), 15г</t>
  </si>
  <si>
    <t xml:space="preserve">Масла шиповника, масло сладкого миндаля и экстракт зеленого чая обогащают кожу необходимыми биологически активными веществами, повышают тонус кожи, омолаживают ее. Масло манго и масло Ши увлажняют кожу, делают ее гладкой и упругой. Эфирные масла розы и нероли снимают признаки усталости, возвращают коже природную красоту и свежесть. </t>
  </si>
  <si>
    <t>Состав: масло Ши, масло манго, рисовое масло, рисовый воск, пчелиный воск, масло шиповника (Rosa rubiginosa), масло сладкого миндаля, экстракт зеленого чая, эфирное масло розы (Rosa damascena), эфирное масло нероли (Citrus bigaradia), ретинола ацетат (витамин А), токоферола ацетат (витамин Е</t>
  </si>
  <si>
    <t>Наносите на чистую слегка увлажненную кожу. Возьмите плитку в руки. Позвольте ей немного растаять между ладонями. Легкими массажными движениями нанесите крем на тело. Подождите пока крем полностью впитается. Избыток крема удалите сухой салфеткой.</t>
  </si>
  <si>
    <t>https://disk.yandex.ru/d/mmAqRgukSqp-WQ</t>
  </si>
  <si>
    <t>https://kleona.com/telo/tverdye-kremy/tverdyj-krem-koktebel/</t>
  </si>
  <si>
    <t>"Лунный свет"  по 1 шт (цветок), 15г</t>
  </si>
  <si>
    <t>Что делать, если ваша кожа стала сухой? От солнца, мороза, сухого воздуха или бытовой химии. Прежде всего - восстановить липидный обмен и защитить кожу от повторного воздействия повреждающих факторов.
Справиться с этой задачей вам поможет твердый крем «Лунный свет». Основным активным компонентом этого крема является инфузное масло ламинарии. Оно интенсивно увлажняет, смягчает и разглаживает кожу, придает ей упругость и эластичность, оказывает выраженный лифтинговый эффект. И все потому, что масло ламинарии богато самыми разнообразными биологически-активными веществами: витаминами В1, В2, B12, А, Е, каротиноидами, микроэлементами: железом, марганецем, серой, магнием, калием, йодом, фосфором и другими.
Вторым важным ингредиентом твердого крема «Лунный свет» является масло Ши, содержание которого в плиточке достигает 40%. Клинически доказано, что природные компоненты масла Ши активизируют синтез коллагена, вследствие этого улучшается структура кожи. Именно благодаря этому свойству масло Ши прочно «прописалось» в многочисленных регенерирующих и anti-age композицях, а так же в составах, борющихся с «утончением» кожи. 
Третий компонент – это удивительное по своим косметическим свойствам масло манго. Оно возвращают коже естественную способность удерживать влагу, благодаря чему кожа становится мягкой и бархатистой.
Другие компоненты: масло миндальных косточек, эфирные масла, пчелиный и абрикосовый воск придают плиточке тот комплекс свойств, который не оставит вас равнодушными. Крем имеет богатый цветочный аромат, легко плавится в теплых ладонях, мягко наносится на кожу, быстро впитывается, не оставляя ощущения жирности и липкости, сохраняет приятный гриф кожи в течение суток.
Крем «Лунный свет» разрабатывался для ухода за сухой и чувствительной кожей. Но с таким же успехом он может использоваться и для ухода за нормальной, здоровой кожей.</t>
  </si>
  <si>
    <t>масло Ши, масло манго, рисовое масло, пчелиный воск, инфузное масло ламинарии, масло миндальных косточек, абрикосовый воск, эфирное масло нероли (Citrus aurantium L.), эфирное масло сандала (Santalum album L.), эфирное масло бергамота (Citrus bergamiaL.),ретинола ацетат (витамин А), токоферола ацетат (витамин Е)</t>
  </si>
  <si>
    <t>https://disk.yandex.ru/d/ZD6pzdHkvot24Q</t>
  </si>
  <si>
    <t>https://kleona.com/telo/tverdye-kremy/tverdyj-krem-lunnyj-svet/</t>
  </si>
  <si>
    <t>"Сладкий апельсин"  по 1 шт (цветок), 15г</t>
  </si>
  <si>
    <t>вердый крем «Сладкий апельсин» изготовлен из натуральных растительных и эфирных масел. Оформлен в виде симпатичной массажной плитки апельсинового цвета с ярким конфетно-цитрусовым ароматом. Является идеальным средством для ухода за кожей в любое время года.
Содержит только биологически-активные ингредиенты. Алтайское облепиховое масло холодного отжима с высоким содержанием каротиноидов, незаменимых полиненасыщенных жирных кислот, с комплексом витаминов - С, Р, А, Е интенсивно питает кожу, устраняет воспалительные процессы, способствует быстрому восстановлению здоровья. Синергетическая смесь эфирных масел нормализует обменные процессы в коже, ускоряет обновление клеток. Масла манго и Ши сглаживают кожу, уменьшают дряблость и морщинистость, повышают ее мягкость, делают кожу светлой и эластичной. Пчелиный и абрикосовый воски надежно защищают кожу от обезвоживания.
Состав крема подобран таким образом, чтобы крем получился максимально легким. Нанесенный на улажненную кожу, крем полностью впитывается за считанные минуты, не оставляя после себя ощущения жирности и липкости.
Рекомендуется для нормальной и проблемной кожи. Качественные изменения состояния кожи проявляются примерно на 4-й день применения крема.
Крем полностью натурален. Не содержит синтетических отдушек, красителей и консервантов.</t>
  </si>
  <si>
    <t>масло Ши, масло манго, рисовое масло, пчелиный воск, облепиховое масло, абрикосовый воск,  эфирное масло литсеи кубеба (Litsea cubeba L.), эфирное масло апельсина (Citrus sinensis L.), эфирное масло герани (Pelargonium graveolens L.), эфирное масло розмарина (Rosmarinus officinalis L.), ретинола ацетат (витамин А), токоферола ацетат (витамин Е).</t>
  </si>
  <si>
    <t>https://disk.yandex.ru/d/qWdIJJFjWbzb9g</t>
  </si>
  <si>
    <t>https://kleona.com/telo/tverdye-kremy/tverdyj-krem-sladkij-apel-sin/</t>
  </si>
  <si>
    <t>"Тающая нежность"  по 1 шт (цветок), 15г</t>
  </si>
  <si>
    <t>Масляная массажная плитка «Тающая нежность» - это изысканный твердый крем, который так и тает от нежного тепла ваших рук. Изготовлена из высококачественных растительных масел. Обогащена эфирными маслами жасмина и иланг-иланг, пчелиным воском, витаминами А и Е. Не содержит синтетических красителей, отдушек, консервантов. Имеет удивительный цветочно-медовый запах, который не оставит Вас равнодушным.
Быстро впитывается. Не дает ощущения пленки на коже. Надолго сохраняет увлажненность кожи после душа или ванной. Является отличной заменой привычным косметическим кремам.
Питает, увлажняет, смягчает, оживляет, тонизирует кожу, делает ее нежной, гладкой, бархатистой. Позволяет надолго сохранить естественный, ухоженный вид кожи, вернуть ей природную свежесть и красоту.
Предназначена для ежедневного вечернего ухода за кожей рук, лица и тела. Может быть использована для проведения легкого и приятного массажа.</t>
  </si>
  <si>
    <t>масло какао, масло Ши, пчелиный воск, масло миндальных косточек, масло абрикосовых косточек, масло виноградных косточек, масло лесного ореха, масло Жожоба, эфирное масло жасмина, эфирное масло иланг-иланг, витамин А. витамин Е,</t>
  </si>
  <si>
    <t>https://disk.yandex.ru/d/nNwsXwfUhQw7_g</t>
  </si>
  <si>
    <t>https://kleona.com/telo/tverdye-kremy/tverdyj-krem-tayuwaya-nezhnost/</t>
  </si>
  <si>
    <t>"Тающая нежность" по 2 шт (сердечки), 30г</t>
  </si>
  <si>
    <t>30 г</t>
  </si>
  <si>
    <t xml:space="preserve">Ухаживающие средства для ИНТИМНОЙ ГИГИЕНЫ </t>
  </si>
  <si>
    <t>Гидрофильное масло "FeminaОЛИВИЯ", 150 мл</t>
  </si>
  <si>
    <t>BY.70.06.01.001.R.000429.02.23</t>
  </si>
  <si>
    <t>б/срочно</t>
  </si>
  <si>
    <t>https://disk.yandex.ru/d/KsahpBtcaHc1FA</t>
  </si>
  <si>
    <t>легкий цветочный</t>
  </si>
  <si>
    <t>155*43*43</t>
  </si>
  <si>
    <t xml:space="preserve">флакон 150 мл ПЭТ белый Ц / 20/410  помпа дозирующая белая </t>
  </si>
  <si>
    <t>Этот удивительный продукт пока новичок среди средств для гигиены, но с большой скоростью завоевывает себе почитателей. Создан он на основе натуральных растительных масел с добавлением экстрактов целебных трав и эфирных масел. Специфика продукта в том, что именно растительные масла, а не поверхностно-активные вещества, являются тем самым компонентом, который растворяет кожный жир, а вместе с ним и загрязнения. Гидрофильное масло «femina ОЛИВИЯ» способствует устранению сухости и воспалений. Может быть рекомендовано женщинам с сухой слизистой, в том числе на фоне гормонального неблагополучия и при сахарном диабете. Ускоряет заживление микроповреждений и швов, поэтому пригодно для гигиены в послеродовый период. Прекрасное профилактическое средство от молочницы.
Это средство не дает пены. Масла в совокупности с мягкими поверхностно-активными веществами, входящими в состав продукта в минимальных количествах, при контакте с водой образуют устойчивую эмульсию, которая растворяет загрязнения и легко смывается без применения дополнительных моющих средств. При этом на коже остается тонкий слой растительных масел и целебных экстрактов, которые быстро впитываются в кожу, смягчая и ухаживая за ней.
Профилактическое и ухаживающее действие
Имея слабокислый рН, гидрофильное масло способствует сохранению здорового состояния интимной зоны. Специальным образом подобранные растительные масла обеспечивают длительное увлажнение кожи и слизистой.
Противовоспалительное и антисептическое действие
Экстракт чабреца оказывает антивирусное, иммуностимулирующее действие, помогает бороться с грибковой инфекцией (кандидозом). Зверобой и ромашка, общепризнанные природные антисептики, обладают ярко выраженными противовоспалительными свойствами, способствуют заживлению и регенерации кожи и слизистой. Эфирное масло иланг-иланг успокаивает, расслабляет, является прекрасным афродизиаком.
Гидрофильное масло «ОЛИВИЯ» подарит нежный уход и поможет в решении деликатных проблем. Создаст тонус и настроение предвкушения прекрасных мгновений.</t>
  </si>
  <si>
    <t>Состав: масло оливковое, масло виноградной косточки, масло миндальное, масло рисовое, полиглицерилдикаприлат, полиглицерилолеат, экстракт чабреца (Thimus), экстракт зверобоя продырявленного (Hypericumperforatum), экстракт ромашки лекарственной (Matricariachamomilla), лецитин, дистеарат сахарозы, комплекс моно- и диглицеридов природных жирных кислот, глицерилкаприлат, молочная кислота, олеиновая кислота, линолевая кислота, эфирное масло душицы, эфирное масло иланг-иланг, токоферола ацетат (витамин Е).</t>
  </si>
  <si>
    <t>Способ применения: Нанести средство на интимную зону, после чего тщательно смыть водой, без использования пенящихся средств. Средство малопенное.</t>
  </si>
  <si>
    <t>https://disk.yandex.ru/d/fsG365bZSts_yw</t>
  </si>
  <si>
    <t>https://kleona.com/dlya-dusha-i-bani/produkty-dlya-intimnoj-gigieny/gidrofil-noe-maslo-femina-oliviya/</t>
  </si>
  <si>
    <t>Интимное мыло "FeminaОРГАНИКА", 200 мл (гипоаллергенное)</t>
  </si>
  <si>
    <t>BY.70.06.01.001.R.000427.02.23</t>
  </si>
  <si>
    <t>https://disk.yandex.ru/d/S4-8-vjgZZNXIA</t>
  </si>
  <si>
    <t>практичсеки отсутствует</t>
  </si>
  <si>
    <t>174*46*46</t>
  </si>
  <si>
    <t xml:space="preserve">флакон 200 мл ПЭТ белый Ц /24/410  помпа дозирующая белая </t>
  </si>
  <si>
    <t>Это мыло можно рекомендовать всем женщинам и девушкам, заботящимся о своем здоровье. Лаконичное по своему составу, оно содержит минимум компонентов, способных вызвать раздражение или аллергию. Поэтому мыло «Органика» прекрасно подойдет женщинам с чувствительной кожей, склонным к аллергиям, а также будущим мамам.
Профилактическое действие
Молочная кислота и лактат натрия поддерживают естественный баланс микрофлоры интимной зоны. Поэтому регулярное применение этого мыла будет хорошей профилактикой дисбактериоза и воспалений.
Смягчающее и очищающее действие
Мягкие моющие компоненты (разрешенные стандартами на натуральную косметику) бережно очищают кожу, не оставляя ощущения сухости и стянутости. Экстракт алое-вера эффективно смягчает и увлажняет кожу и слизистую оболочку интимной зоны, устраняет раздражение и покраснение.
Нежный уход с мылом «ОРГАНИКА» подарит чувство чистоты, свежести и комфорта, поможет сохранить здоровье и радость полноценной жизни.</t>
  </si>
  <si>
    <t>Состав: вода дистиллированная, экстракт алоэ-вера (Aloe Vera), алкилглюкозид натрия, кокоилглутамат натрия, алкилполигликозидкарбоксилат натрия, кокамидопропилбетаин, молочная кислота, лактат натрия, лимонная кислота, глицерин, стеарат сахарозы, бензиловый спирт, глицерил каприлат.</t>
  </si>
  <si>
    <t xml:space="preserve">Способ применения: небольшое количество мыла нанесите на интимные зоны, вспеньте и смойте теплой водой.
</t>
  </si>
  <si>
    <t>https://disk.yandex.ru/d/zaYFBOH5d3UN-w</t>
  </si>
  <si>
    <t>https://kleona.com/dlya-dusha-i-bani/produkty-dlya-intimnoj-gigieny/intimnoe-mylo-femina-organika/</t>
  </si>
  <si>
    <t>Интимное мыло "FeminaФИТОЛИЯ", 200 мл (эф.масло дамасской розы)</t>
  </si>
  <si>
    <t>BY.70.06.01.001.R.000428.02.23</t>
  </si>
  <si>
    <t>https://disk.yandex.ru/d/d8fVNphhXMIO6Q</t>
  </si>
  <si>
    <t>коричнево-красный прозрачный</t>
  </si>
  <si>
    <t>Это мыло - для ежедневной интимной гигиены и профилактики воспалительных процессов. Имея в своем составе богатую палитру лекарственных растений, оно поможет при возникновении некоторых проблем деликатной зоны, ослабит неприятные ощущения: покраснение, раздражение, сухость и зуд. Прекрасно подойдет к использованию во время и после критических дней.
Профилактическое и противовоспалительное действие
Молочная кислота и лактат натрия поддерживают естественный рН кожи и слизистой, выравнивают баланс микрофлоры. Боровая матка, известная своей эффективностью в лечении многих женских заболеваний, обладает противовоспалительным, противомикробным и обезболивающим действием, стимулирует местный иммунитет. Отвар черноголовника оказывает бактерицидное и успокаивающее действие на кожу, а отвары коры дуба и полыни - антисептическое и противогрибковое действие.
Регенерирующее и смягчающее и действие
Отвары коры осины и бадана смягчают и увлажняют нежную кожу интимной зоны, способствуют заживлению микроповреждений на ней. Натуральное эфирное масло розы,- мощное регенерирующее средство, устраняет гиперчувствительность кожи, сохраняет ее эластичность, обладает эротизирующим эффектом.
Интимное мыло «Фитолия» нежно заботится о вашем здоровье и помогает сохранить женственность.</t>
  </si>
  <si>
    <t>Состав: отвар боровой матки (Orthilia secunda), отвар черноголовника (Sanguisorba officinalis), отвар коры дуба (Cortex Quercus ), отвар коры осины (Populus tremula), отвар полыни горькой (Artemísia absínthium), отвар корня бадана толстолистного (Bergenia crassifolia) алкилглюкозид натрия, кокоилглутамат натрия, алкилполигликозидкарбоксилат натрия, кокамидопропилбетаин, молочная кислота, лактат натрия, лимонная кислота, глицерин, стеарат сахарозы, бензиловый спирт, глицерил каприлат, эфирное масло розы.</t>
  </si>
  <si>
    <t>https://disk.yandex.ru/d/3MfUp2J0sn8gmg</t>
  </si>
  <si>
    <t>https://kleona.com/dlya-dusha-i-bani/produkty-dlya-intimnoj-gigieny/intimnoe-mylo-femina-fitoliya/</t>
  </si>
  <si>
    <t>Уход за  СУХИМИ, ОКРАШЕННЫМИ и БЛОНДИРОВАННЫМИ волосами / ГОЛУБАЯ ЛИНЕЙКА</t>
  </si>
  <si>
    <t>Шампунь BLOND восстанавливающий для сух. и окраш. волос, 250 мл</t>
  </si>
  <si>
    <t>ЕАЭС №RU Д-RU.РА08.В.95253/22</t>
  </si>
  <si>
    <t>https://disk.yandex.ru/d/jAKW0RhqQxrkvg</t>
  </si>
  <si>
    <t>194*48*48</t>
  </si>
  <si>
    <t>флакон 250 пл ПЭ белый Ц / 24/410 диск-то белый / колпачок ТУ прозрачный</t>
  </si>
  <si>
    <t xml:space="preserve"> восстанавливает сухие, осветленные, поврежденные волосы. Увлажняет их до самых кончиков, делает мягкими, гладкими, эластичными, облегчает расчесывание и укладку, придает волосам силу и здоровый блеск. Уменьшает ломкость волос. Защищает цвет окрашенных волос от быстрого вымывания. Не сушит, не раздражает кожу головы. Подходит для ежедневного применения.</t>
  </si>
  <si>
    <t xml:space="preserve">Состав: вода  деионизированная,  децилглюкозид,  кокамидопропилбетаин, кокамидопропилгидроксисултаин,  экстракт  листьев  камелии  китайской, экстракт  плодов  амлы,  экстракт  жимолости  японской,  гидролизованный кератин,  гидролизованные  протеины  жемчуга,  глицерин  растительного происхождения,  глюкоза,  хлорид  натрия,  лимонная  кислота,  сорбитана 
сесквикаприлат,  натрия  пироглутамат  (Sodium  PCA),  гель  алоэ  вера, мальтодекстрин, рицинолеат натрия, стеарат сахарозы, свекольный бетаин, эфирное масло апельсина, фруктовый ароматизатор (ананас, яблоко, персик) идентичный натуральному, эфирное масло розы, эфирное масло туберозы, эфирное  масло  сандала,  ксантовая  камедь,  низкомолекулярная гиалуроновая кислота. 
Не содержит сульфатов, силиконов, синтетических красителей и отдушек.
</t>
  </si>
  <si>
    <t xml:space="preserve">Применение: нанесите шампунь на влажные волосы, распределите по всей длине волос и помойте привычным для вас способом. Для усиления действия подержите пену несколько минут, затем тщательно смойте.  При необходимости повторите.
Избегайте попадания шампуня в глаза, при попадании - промойте проточной водой.
Избегайте попадания шампуня в глаза. При попадании промойте глаза проточной теплой водой.
</t>
  </si>
  <si>
    <r>
      <t xml:space="preserve">Шампунь BLOND восстанавливающий для сух. и окраш. волос, </t>
    </r>
    <r>
      <rPr>
        <b/>
        <sz val="10"/>
        <color rgb="FFFF0000"/>
        <rFont val="Arial Cyr"/>
        <charset val="204"/>
      </rPr>
      <t>100 мл</t>
    </r>
  </si>
  <si>
    <t>Шампунь ЛАВАНДА увлажняющий для сух., поврежд. и окраш., 250 мл</t>
  </si>
  <si>
    <t>https://disk.yandex.ru/d/uDkfji26e3rFfA</t>
  </si>
  <si>
    <t>Действие: растительный  шампунь  обеспечивает  мягкий  уход  за  сухими волосами,  в  том  числе  после  окрашивания  и  при  частом  воздействии  на волосы  высоких  температур.  Специальный  комплекс  из  хитозана, токоферолацетата и провитамина В5 в сочетании с лекарственными травами и маслом  жожоба  активно  воздействует  на  кожу  головы  и  волосы,  устраняет раздражение и шелушение, оживляет сухие, тонкие, повреждённые волосы. Шампунь делает волосы эластичными.</t>
  </si>
  <si>
    <t xml:space="preserve">Состав: напар  травы  лаванды,  экстракт  вероники  (шикши  сибирской), экстракт тысячелистника, мягкая «зеленая» моющая основа, глицерил олеат, натуральный  свекольный  бетаин,  глицерин  растительного  происхождения, хитозан,  сорбитол,  аллантоин,  молочная  кислота,  молочнокислый  калий, природная  соль,  бензиловый  спирт,  сорбиновая  кислота,  D-пантенол (провитамин В5), масло жожоба, эфирное масло лаванды, токоферола ацетат (витамин Е), коньяк маннан (из клубней растения Аморфофаллус коньяк).
*включает  в  себя:  лаурилглюкозид  натрия,  кокоилглутамат  натрия, лаурилглюкозкарбоксилат  натрия  и  кокоамфоацетат  натрия  (разрешены ECOCERT для натуральной косметики).
Не содержит сульфатов, силиконов, синтетических красителей и отдушек.
</t>
  </si>
  <si>
    <t xml:space="preserve">Применение: нанесите шампунь на влажные волосы, распределите по всей длине волос и помойте привычным для вас способом. Для усиления действия подержите пену несколько минут, затем тщательно смойте. При необходимости повторите.
Избегайте попадания шампуня в глаза, при попадании - промойте проточной водой.
Избегайте попадания шампуня в глаза. При попадании промойте глаза проточной теплой водой.
</t>
  </si>
  <si>
    <t>Кондиционер-маска BLOND для блондир., мелиров., ломких волос, 250 мл</t>
  </si>
  <si>
    <t xml:space="preserve">Сыворотка-активатор роста для волос цвета БЛОНД, 100 мл </t>
  </si>
  <si>
    <t>ЕАЭС №RU Д-RU.РА08.В.95944/22</t>
  </si>
  <si>
    <t>https://disk.yandex.ru/d/oZAp976pQ0XIDw</t>
  </si>
  <si>
    <t>59*91*91</t>
  </si>
  <si>
    <t>банка 250 мл ПЭТ белая / запайка / крышка белая</t>
  </si>
  <si>
    <t>Действие: интенсивно ухаживает за тонкими, ломкими и поврежденными волосами, с первого применения придает им гладкость, мягкость и жизненную силу. Делает волосы легкими и послушными, облегчает расчесывание, улучшает качество укладки, уменьшает пушистость. Устраняет сухость волос, восстанавливает поврежденную структуру волоса, снижает ломкость, возвращает природный блеск. Защищает от воздействия агрессивных факторов (фен, горячая укладка, УФ-лучи, непогода).</t>
  </si>
  <si>
    <t xml:space="preserve">Состав: вода  деионизированная,  бегениловый  спирт,  масло  карите,  цетеариловый спирт,  масло  кокосовое,  масло  косточек  сладкого  миндаля,  масло  макадамии,  масло крамбе, неомыляемые вещества гидрогенизированного оливкового масла, гидрированный этилгексилоливат, гуаргидроксипропилтримония хлорид, масло жожоба, фосфолипиды сои, эфирное  масло  апельсина,  эфирное  масло  розы,  эфирное  мало  туберозы,  эфирное  масло сандала,  воск  рисовых  отрубей,  воск  карнаубский,  церамиды,  серин,  аргинин, глутамин,  цистеин,  пролин,  фруктовый  ароматизатор  (ананас,  яблоко,  персик) идентичный натуральному.
</t>
  </si>
  <si>
    <t xml:space="preserve">Применение: распределите достаточное  количество  продукта  по  всей  длине влажных, вымытых волос, оставьте на 2-3  минуты  для  получения  кондиционирующего  эффекта  или  на  5-10  минут,  если  продукт  используется  в  качестве  маски, после чего смойте его проточной водой. 
Продукт имеет накопительный эффект, поэтому частоту использования  и  продолжительность  нахождения  его  на  волосах  следует  подобрать индивидуально исходя из собственных предпочтений.
Избегайте попадания шампуня в глаза. При попадании промойте глаза проточной теплой водой.
</t>
  </si>
  <si>
    <t>Уход за ЖИРНЫМИ волосами / ОРАНЖЕВАЯ ЛИНЕЙКА</t>
  </si>
  <si>
    <t>Бальзам Одуванчик и Солодка (для сух и окраш. волос), 250 мл</t>
  </si>
  <si>
    <t>158*Ø57</t>
  </si>
  <si>
    <t>вода дистиллированная, цетеариловый спирт, масло авокадо, оливковое масло, экстракт корня одуванчика, экстракт корня солодки, масло Жожоба, сухой яичный желток, свекольный бетаин, кокоглюкозид, глицерин, сорбит, каприлик/каприк триглицериды, экстракт японской жимолости, бензиловый спирт, глицерилкаприлат, эфирное масло грейпфрута, лимонная кислота, аскорбат натрия, эфирное масло базилика, эфирное масло кипариса, эфирное масло розового дерева, токоферола ацетат (витамин Е), низкомолекулярная гиалуроновая кислота.</t>
  </si>
  <si>
    <t>эффективно увлажняет, наполняет жизненной энергией сухие и поврежденные волосы, придает им мягкость и эластичность. Не утяжеляет волосы, делает их гладкими, послушными, обеспечивает легкое расчесывание. Придает волосам блеск и объем, возвращает им природную красоту. Благодаря многочисленным биологически активным веществам из корней солодки и одуванчика смягчает и успокаивает сухую и чувствительную кожу головы, питает и оздоравливает ее. Укрепляет корни волос, способствует росту новых волос. При регулярном применении улучшает структуру волос, уменьшает ломкость и сечение ихкончиков.
Хорошо ложится и держится на волосах. Легко смывается теплой водой, не оставляя на волосах пленки.</t>
  </si>
  <si>
    <t>Нанесите бальзам на чистые влажные волосы и кожу головы, подержите 5-7 минут, после чего хорошо промойте их теплой водой, не вымывая бальзам до скрипа.
Бальзам не совместим с шампунями, содержащими кондиционирующие добавки из категории четвертичных аммонийных соеджинений, такие как: цетримониум хлорид, бегентримониума хлорид и им подобные.</t>
  </si>
  <si>
    <t>https://disk.yandex.ru/d/cJMxsarJHJhPvQ</t>
  </si>
  <si>
    <t>https://kleona.com/volosy/bal-zamy-i-kondicionery-dlya-volos/bioaktivnyj-bal-zam-dlya-volos-oduvanchik-i-solodka-dlya-suhih-i-okrashennyh-volos/</t>
  </si>
  <si>
    <t>Шампунь АИР укрепляющий для жирн. кожи головы и сух. кончиков, 250 мл</t>
  </si>
  <si>
    <t>https://disk.yandex.ru/d/n8pMW0yv9OpQCg</t>
  </si>
  <si>
    <t>Действие: мягко и эффективно очищает волосы и кожу головы. Обеспечивает увлажнение, объем, силу и эластичность волос. Придает волосам ухоженный вид, гладкость и здоровый блеск. Оказывает тонизирующее действие на корни волос. Экстракт имбиря улучшает микроциркуляцию и обменные процессы в клетках кожи головы, стимулирует волосяные луковицы, улучшает рост волос, уменьшает их потерю. Экстракт корня пиона наполняет и укрепляет структуру волос, улучшает их качество и внешний вид. Шампунь подходит для ежедневного использования. Регулярное применение способствует росту здоровых и крепких волос.
Для улучшения косметических свойств окрашенных и сухих волос рекомендуется использовать кондиционер.</t>
  </si>
  <si>
    <t>Состав: гидролат розмарина, мягкая «зеленая» моющая основа, глицерил олеат, кокоглюкозид, экстракт корня пиона, натуральный свекольный бетаин, молочная кислота, молочнокислый калий, экстракт корня имбиря, экстракт жимолости японской, глицерин, бензиловый спирт, аллантоин, эфирное масло иланг-иланг, эфирное масло базилика, эфирное масло кипариса, эфирное масло розового дерева, сорбиновая кислота, токоферола ацетат (витамин Е), ксантовая камедь. 
* включает в себя лаурилглюкозид натрия, кокоилглутамат натрия, лаурилглюкозкарбоксилат натрия и кокамфоацетат натрия; разрешены стандартом ECOCERT для натуральной и органической косметики.</t>
  </si>
  <si>
    <t>Нужное количество шампуня нанесите на влажные волосы, вспеньте и легко помассируйте кожу головы. Для воздействия активных компонентов подержите шампунь 1-2 минуты, после чего хорошо промойте волосы теплой водой.</t>
  </si>
  <si>
    <t>https://disk.yandex.ru/d/EbAUmmpzFa08Fw</t>
  </si>
  <si>
    <t>https://kleona.com/volosy/zhidkie-shampuni/bioaktivnyj-natural-nyj-shampun-imbir-i-pion/</t>
  </si>
  <si>
    <t>Шампунь ДУБОК балансирующий для жирн. волос и кожи головы, 250 мл</t>
  </si>
  <si>
    <t>Маска для волос ДУБОК и ОБЛЕПИХА себорегулирующая, с коллоидной серой, 150 мл</t>
  </si>
  <si>
    <t>ЕАЭС N RU Д-RU.РА09.В.37021/23</t>
  </si>
  <si>
    <t>https://disk.yandex.ru/i/1HjeXAGjpSUgCw</t>
  </si>
  <si>
    <t>Уход для ВСЕХ ТИПОВ волос / РОЗОВАЯ ЛИНЕЙКА</t>
  </si>
  <si>
    <t>Шампунь ИМБИРЬ и ПИОН блеск и объем для всех типов волос, 100 мл</t>
  </si>
  <si>
    <t>Шампунь ИМБИРЬ и ПИОН блеск и объем для всех типов волос, 250 мл</t>
  </si>
  <si>
    <t>Шампунь-кондиционер для норм., сух., тонких и ломких волос, 250 мл</t>
  </si>
  <si>
    <t>Кондиционер АЛТЕЙ и ЦИКОРИЙ восстанавливающий для всех типов волос, 250 мл</t>
  </si>
  <si>
    <t>Маска для волос ИМБИРЬ и РОЗА стимулятор роста, с маслом черного тмина, 150 мл</t>
  </si>
  <si>
    <t>https://disk.yandex.ru/i/Zt68PKrvMQzGpA</t>
  </si>
  <si>
    <t xml:space="preserve">Серия для роста и укрепления волос  КРАПИВА </t>
  </si>
  <si>
    <t xml:space="preserve">Бальзам "Крапива" для кожи головы и волос, 350 мл </t>
  </si>
  <si>
    <t>350 мл</t>
  </si>
  <si>
    <t>ЕАЭС N RU Д-RU.НВ51.В.00060/20</t>
  </si>
  <si>
    <t>https://disk.yandex.ru/d/dHezDXRJ9dJ-Jg</t>
  </si>
  <si>
    <t>цветочно-травяной</t>
  </si>
  <si>
    <t>зелено-коричневый</t>
  </si>
  <si>
    <t>226*Ø50</t>
  </si>
  <si>
    <t>флакон 350 мл  ПЭТ коричневый / диск-топ черный / колпачок ТУ прозрачный</t>
  </si>
  <si>
    <t xml:space="preserve">Действие:  оказывает  комплексный  уход  за  волосами  и кожей  головы:  уменьшает  выпадение  волос;  устраняет шелушение  и  зуд  кожи,  в  том  числе  после  окрашивания; 
дольше сохраняет чистоту и свежесть волос. Встраивает аминокислоты в структуру волос,   формирует на них  гибкую  пленку  с  кератином.  Защищает  волосы  от сухости  и  повреждений,  причиняемых  обесцвечиванием, выпрямлением,  механическим  воздействием  и УФ-облучением. Смягчает волосы, придает им силу, блеск, объем,  здоровый  вид.  Рекомендуется  для  нормальных  и жирных волос. Обладает накопительным эффектом. </t>
  </si>
  <si>
    <t xml:space="preserve">ССостав: отвар крапивы двудомной, пчелиный мед, глицерин растительного  происхождения,  ксантановая  камедь,  масло 
кокосовое,  цетеариловый  спирт,  полиглицерил полирицинолеат,  гидролизованный  кератин,  сукцинат хитозана, D-пантенол, масло жожоба, натрий октенилсукцинат крахмала, молочная кислота, бензоат натрия, сорбат натрия, эфирное  масло  лаванды,  эфирное  масло  розмарина, эфирное  масло  шалфея  мускатного,  ретинола  пальмитат (витамин А), токоферола ацетат (витамин Е).
Не  содержит  синтетических  компонентов,  отдушек, красителей. Натуральный продукт, при хранении возможно расслоение, перед применением хорошо встряхните флакон. </t>
  </si>
  <si>
    <r>
      <t xml:space="preserve">Применение:  используйте  после  мытья  волос. Легкими массажными  движениями  нанесите  бальзам  на  кожу головы, затем распределите по всей длине волос. Оставьте бальзам на голове на 7-10 минут (для сухих волос - до 20 минут), после чего смойте теплой водой. 
Натуральный  продукт,  при  хранении  возможно  расслоение, перед применением хорошо встряхните флакон. 
</t>
    </r>
    <r>
      <rPr>
        <b/>
        <sz val="6"/>
        <rFont val="Arial"/>
        <family val="2"/>
        <charset val="204"/>
      </rPr>
      <t xml:space="preserve">Особые рекомендации:
</t>
    </r>
    <r>
      <rPr>
        <sz val="6"/>
        <rFont val="Arial"/>
        <family val="2"/>
        <charset val="204"/>
      </rPr>
      <t xml:space="preserve"> - чем суше кожа головы и волосы, тем больше бальзама требуется для их восстановления;
 - в целях экономии при нанесении на длинные волосы 15-25 мл бальзама можно развести половиной стакана теплой воды и получившуюся эмульсию нанести на волосы.
Применение:  используйте  после  мытья  волос. Легкими массажными  движениями  нанесите  бальзам  на  кожу головы, затем распределите по всей длине волос. Оставьте бальзам на голове на 7-10 минут (для сухих волос - до 20 минут), после чего смойте теплой водой. 
Применение: используйте бальзам после мытья волос. Легкими  массажными  движениями  нанесите  его  на  кожу  головы, затем распределите по всей длине волос. Оставьте бальзам на голове на 7-10 минут (при ежедневном применении достаточно оставить бальзам на 1,5-3 минуты), после чего смойте теплой водой.</t>
    </r>
  </si>
  <si>
    <t>https://disk.yandex.ru/d/dggJ64-Ccsoo1w</t>
  </si>
  <si>
    <t>https://kleona.com/volosy/bal-zamy-i-kondicionery-dlya-volos/bal-zam-dlya-kozhi-golovy-i-volos-krapiva/</t>
  </si>
  <si>
    <t xml:space="preserve">Кондиционер "Крапива" для волос (восстановление и защита), 150 мл </t>
  </si>
  <si>
    <t>ЕАЭС N RU Д-RU.РА06.В.31470/23</t>
  </si>
  <si>
    <t>https://disk.yandex.ru/d/0AmgRiTrU-cABg</t>
  </si>
  <si>
    <t>44*92*92</t>
  </si>
  <si>
    <t>банка 150 мл ПЭТ белая / запайка прозрачная ПЭ / крышка ПП</t>
  </si>
  <si>
    <t xml:space="preserve">Кондиционер  для  волос  “Крапива”  прекрасно разглаживает  волосы  по  всей  длине,  придает  эластичность  и здоровый  блеск,  делает  их  струящимися,  возвращает  волосам 
естественную  красоту.  Облегчает  расчесывание,  улучшает  укладку. Защищает  волосы  от  термического  и  химического  воздействия  и УФ-излучения.  Реставрирует  макро-  и  микроповреждения  волос,  улучшает структуру волос, наполняет их. Обеспечивает эффективное увлажнение. Уменьшает сечение и ломкость кончиков, в том числе окрашенных и обесцвеченных волос. </t>
  </si>
  <si>
    <t xml:space="preserve">Состав: отвар крапивы двудомной, цетеариловый спирт, свекольный бетаин, масло косточек миндаля,  масло  бабассу,  инулин  голубой  агавы,  кокоглюкозид,  глицерин  растительного 
происхождения, масло жожоба, лимонная кислота, гидролизованный соевый протеин, экстракт жимолости  японской,  бензиловый  спирт,  глицерил  каприлат,  гидролизованный  кератин, 
карбоксицистеин,  серин,  глицин  (аминоуксусная  кислота),  глутаминовая кислота,  гуаргидроксипропилтримония  хлорид,  эфирное  масло  розы,  эфирное масло базилика, эфирное масло мелиссы  лекарственной,  эфирное  масло  укропа, растительный хлорофилл, витамин Е. 
</t>
  </si>
  <si>
    <r>
      <t xml:space="preserve">Применение: нанесите кондиционер на чистые влажные волосы, равномерно распределите его по всей длине и через 1-3 
минуты тщательно смойте теплой проточной водой. Для более эффективного действия кондиционера профессиональные  парикмахеры  рекомендуют  после  мытья  волос  промокнуть  их  полотенцем  от  лишней  влаги.  Затем  наносить  кон-
диционер.
</t>
    </r>
    <r>
      <rPr>
        <b/>
        <sz val="6"/>
        <rFont val="Arial"/>
        <family val="2"/>
        <charset val="204"/>
      </rPr>
      <t xml:space="preserve">Особые рекомендации:
</t>
    </r>
    <r>
      <rPr>
        <sz val="6"/>
        <rFont val="Arial"/>
        <family val="2"/>
        <charset val="204"/>
      </rPr>
      <t xml:space="preserve"> - кондиционер не следует наносить на кожу головы и корни волос;
 - кондиционер может изменить тон светлых волос и волос цвета Blond;
 - при жирных волосах кондиционер «Крапива» может ускорить загрязнение волос. Если кожа головы склонна к жирности, лучше использовать «Бальзам» или только «Шампунь с кондиционирующим действием» серии «Крапива».</t>
    </r>
  </si>
  <si>
    <t>https://disk.yandex.ru/d/kfxuzid18zH2Vw</t>
  </si>
  <si>
    <t>https://kleona.com/volosy/bal-zamy-i-kondicionery-dlya-volos/kondicioner-dlya-volos-krapiva/</t>
  </si>
  <si>
    <t>42*Ø90</t>
  </si>
  <si>
    <t xml:space="preserve">Маска "Крапива" для кожи головы и волос (против выпадения волос и для ускорения их роста), 150 мл </t>
  </si>
  <si>
    <t>ЕАЭС N RU Д-RU.НА88.В.21072/19</t>
  </si>
  <si>
    <t>https://disk.yandex.ru/d/vkUAiCbqWmDzyA</t>
  </si>
  <si>
    <t>терпкий травяной</t>
  </si>
  <si>
    <t>176*44*44</t>
  </si>
  <si>
    <t>Флакон 150 мл ПНД белый перламутровый / Крышка коническая с носиком ПП</t>
  </si>
  <si>
    <t>Действие:  увлажняет  и  питает  кожу  головы.    Восстанавливает  структуру  и повышает прочность волос. Замедляет процесс выпадения волос, стимулирует рост  новых.  Эффект  достигается  за  счет  блокирования  в  волосяных фолликулах  ферментов  ароматазы  и  5-альфа-редуктазы,  ответственных  за выпадение волос, а также за счет улучшения питания волосяной луковицы и 
снабжения ее биологически активными веществами, необходимыми для роста сильных и здоровых волос. Имеет накопительный эффект.</t>
  </si>
  <si>
    <t>Состав:  вода  деионизированная,  мед  пчелиный  натуральный,  масло  карите, экстракт  коры  дуба,  экстракт  крапивы,  экстракт  шишек  хмеля,  масло клещевины,  глицерил  стеарат,  сетеариловый  спирт,  цетеарил  глюкозид, бетаин,  глицерин  растительного  происхождения,  масло  авокадо,  масло примулы  вечерней,  масло  зародышей  пшеницы,  масло  календулы,  масло 
черной смородины, масло бурачника, масло жожоба, экстракт липы, экстракт шалфея, экстракт клевера красного, экстракт жимолости японской, эфирное масло  розмарина,  ксантановая  камедь,  комплекс  природных полиненасыщенных жирных кислот (витамин F), токоферола ацетат (витамин Е).</t>
  </si>
  <si>
    <r>
      <t xml:space="preserve">Как правильно наносить маску:
Перед нанесением интенсивно встряхните флакон.
Равномерно нанесите маску на кожу головы и мягкими массирующими  движениями  распределите  ее  по  всей  поверхно-
сти. (Можно провести массаж кожи головы в течении 3-5 минут). Наденьте полиэтиленовую шапочку, укутайте голову полотенцем.  Подержите  маску  30-40  минут,  после  чего  сначала  тщательно смойте ее водой, а затем – промойте волосы с использованием шампуня. Для улучшения состояния волос разбавьте небольшое количество маски теплой водой и нанесите ее на 5-7 минут по всей длине волос.
Применяйте маску 1-2 раза в неделю. Эффект наступает постепенно, по мере накопления активных компонентов в коже. 
После 10-12 процедур сделайте перерыв на месяц.
</t>
    </r>
    <r>
      <rPr>
        <b/>
        <sz val="6"/>
        <rFont val="Arial"/>
        <family val="2"/>
        <charset val="204"/>
      </rPr>
      <t xml:space="preserve">Особые рекомендации:
</t>
    </r>
    <r>
      <rPr>
        <sz val="6"/>
        <rFont val="Arial"/>
        <family val="2"/>
        <charset val="204"/>
      </rPr>
      <t xml:space="preserve"> - если кожа головы и волосы несильно загрязнены, маску можно наносить сразу на сухую кожу головы;
 - при использовании лака, стайлингов и других средств укладки перед 
нанесением маски, голову необходимо помыть с шампунем и просушить полотенцем;
 - маска обеспечивает достаточное питание кожи головы, поэтому при использовании маски дополнительный уход за волосами и кожей головы, как правило, не требуется;
 - при первом применении маски возможно более интенсивное выпадение ослабленных волос, чем обычно. Не стоит этого опасаться, т.к. это выпадают волосы, которые и так были «готовы» выпасть. При регулярном использовании маски выпадение уменьшается после 2-3 применений;
 - в холодное время маску можно наносить слегка подогретой. Но следует иметь в виду, что даже незначительный нагрев разжижает маску и может сделать ее нанесение неудобным. А кратковременный перегрев (нагрев до температуры 45 °С и более) ведет к необратимому снижению активности маски, тем более сильному, чем выше была температура и чем дольше маска была нагрета до этой температуры.</t>
    </r>
  </si>
  <si>
    <t>https://disk.yandex.ru/d/Iz4nW-erLgdoAg</t>
  </si>
  <si>
    <t>https://kleona.com/volosy/maski-dlya-kozhi-golovy-i-volos/maska-dlya-kozhi-golovy-i-volos-krapiva/</t>
  </si>
  <si>
    <t>167*Ø44</t>
  </si>
  <si>
    <t>Сыворотка "Крапива" активатор роста волос, 100 мл + ПЕРЧАТКИ</t>
  </si>
  <si>
    <t>95 мл</t>
  </si>
  <si>
    <t>ЕАЭС N RU Д-RU.РА06.В.48769/23</t>
  </si>
  <si>
    <t>https://disk.yandex.ru/d/YcPRh4DOxOocDQ</t>
  </si>
  <si>
    <t>135*46*46</t>
  </si>
  <si>
    <t>флакон 100 мл стекло коричневый / 18/415 пипетка черная / колпачок ТУ</t>
  </si>
  <si>
    <t xml:space="preserve">Основное действие:
- усиливает кровообращение и микроциркуляцию крови в коже головы;
- ингибирует выработку дигидротестостерона, ответственного за выпадение волос, замедляя выпадение волос по андрогенетическому типу;
- оказывает выраженную стимуляцию роста волос;
- увеличивает количество новых волос, повышает их жизнеспособность;
- уплотняет и укрепляет структуру растущих волос.
Дополнительное действие:
- оказывает противовоспалительное и противогрибковое действие;
- регулирует деятельность сальных желез;
- устраняет жирную перхоть на коже головы. 
</t>
  </si>
  <si>
    <t xml:space="preserve">Состав:  вода  деионизированная,  этиловый  спирт  (36-38%),  капиксил  (Capixyl)*  5%,  экстракт крапивы, экстракт аира, экстракт хвоща, экстракт мать-и-мачехи, экстракт коры ивы, экстракт почек 
черного  тополя,  экстракт  корня  лопуха,  экстракт  ромашки,  экстракт  листа  березы,  глицерил каприлат, эфирное масло розмарина, эфирное масло шалфея мускатного, эфирное масло лаванды.
*запатентованный  комплекс,  содержит:  ацетилтетрапептид-3,  экстракт  красного  клевера, бутиленгликоль, декстран. </t>
  </si>
  <si>
    <r>
      <t xml:space="preserve">Применение: с помощью пипетки нанесите 5-10 мл сыворотки на сухую или влажную кожу волосистой части головы, равномерно распределите и вотрите мягкими массирующими движениями. Проведите массаж кожи головы 2-3 минуты плотно прижатыми ладонями. Смойте шампунем через час или оставьте на ночь для усиления эффекта и смойте утром. Используйте 3-4 раза в неделю. Для получения видимого результата трихологи рекомендуют использовать сыворотку курсом в течение не менее 6 месяцев.
Минимальный курс применения - 3 месяца.
Компания «Клеона» проводила тестовые испытания сыворотки в клинике трихологии в течение 6 месяцев. Результаты тестирования и официальное заключение трихолога размещены на сайте производителя. </t>
    </r>
    <r>
      <rPr>
        <b/>
        <sz val="6"/>
        <rFont val="Arial"/>
        <family val="2"/>
        <charset val="204"/>
      </rPr>
      <t xml:space="preserve">Особые рекомендации: 
</t>
    </r>
    <r>
      <rPr>
        <sz val="6"/>
        <rFont val="Arial"/>
        <family val="2"/>
        <charset val="204"/>
      </rPr>
      <t xml:space="preserve"> - сыворотка окрашивает светлые волосы и волосы цвета Blond;
 - при нанесении сыворотки нужно использовать перчатки, если кутикулы ногтей восприимчивы к отвару трав;
 - при использовании сыворотки на сухой коже головы необходимо проводить ее дополнительное питание. Наша рекомендация – маска «Крапива» 1-2 раза в неделю на протяжении всего срока использования сыворотки или бальзам для кожи головы и волос «Крапива» – на 3-5 минут после мытья волос.</t>
    </r>
  </si>
  <si>
    <t>https://disk.yandex.ru/d/2Avul_Tj2vBq7Q</t>
  </si>
  <si>
    <t>https://kleona.com/volosy/syvorotki-dlya-rosta-volos/syvorotka-aktivator-rosta-volos-krapiva/</t>
  </si>
  <si>
    <t xml:space="preserve">Шампунь "Крапива"  укрепляющий, 250 мл  </t>
  </si>
  <si>
    <t>ЕАЭС N RU Д-RU.РА06.В.52955/23</t>
  </si>
  <si>
    <t>https://disk.yandex.ru/d/RNyeeuO9GPV7vQ</t>
  </si>
  <si>
    <t>158*Ø58</t>
  </si>
  <si>
    <t>Флакон 250 мл ПЭТ коричневый Ц / 24/410 диск-топ черный / колпачок ТУ прозрачный</t>
  </si>
  <si>
    <t xml:space="preserve">Действие:  благодаря  моющим  компонентам  растительного  происхождения  шампунь мягко очищает кожу головы и волосы от загрязнений, не сушит и не раздражает кожу. Увлажняет волосы до самых кончиков, делает их более сильными и упругими, придает волосам объем и здоровый блеск. Регулярное применение шампуня укрепляет волосы, замедляет  их  выпадение,  стимулирует  рост  здоровых  волос.  Дольше  сохраняет ощущение чистоты и свежести. Подходит для ежедневного применения. </t>
  </si>
  <si>
    <t>Состав: отвар крапивы двудомной, экстракт цветков календулы, экстракт корня имбиря, мягкая «зеленая» моющая основа*, натуральный свекольный бетаин, экстракт плодов мыльного  дерева,  природная  каменная  соль,  лимонная  кислота,  бензиловый  спирт, аллантоин,  полиглицерил  полирицинолеат,  коньяк  маннан  (из  клубней  растения 
Аморфофаллус коньяк), эфирное масло розы, сорбиновая кислота, янтарная кислота. *  включает  в  себя  лаурилглюкозид  натрия,  кокоилглутамат  натрия,  лаурилглюкоз- 
карбоксилат натрия и кокамфоацетат натрия  (разрешено   ECOCERT для натуральной косметики).
Не содержит сульфатов, силиконов, синтетических красителей и отдушек.</t>
  </si>
  <si>
    <r>
      <t xml:space="preserve">Применение: нанесите шампунь на влажные волосы, взбейте пену и распределите ее по всей длине волос. Подержите шампунь до 1 минуты и хорошо промойте волосы водой. При необходимости повторите процедуру.
Избегайте попадания шампуня в глаза. При попадании промойте глаза проточной теплой водой.
</t>
    </r>
    <r>
      <rPr>
        <b/>
        <sz val="6"/>
        <rFont val="Arial"/>
        <family val="2"/>
        <charset val="204"/>
      </rPr>
      <t xml:space="preserve">Особые рекомендации:
</t>
    </r>
    <r>
      <rPr>
        <sz val="6"/>
        <rFont val="Arial"/>
        <family val="2"/>
        <charset val="204"/>
      </rPr>
      <t>Это очень мягкий шампунь. Тем не менее, если после применения шампуня волосы жесткие, спутанные и плохо расчесываются – значит  вашим  волосам  после  мытья  головы  необходим  бальзам  или кондиционер.</t>
    </r>
  </si>
  <si>
    <t>https://disk.yandex.ru/d/60cnGSDDQXiVgA</t>
  </si>
  <si>
    <t>https://kleona.com/volosy/zhidkie-shampuni/shampun-ukreplyayuwij-krapiva/</t>
  </si>
  <si>
    <t xml:space="preserve">Шампунь "Крапива"  укрепляющий, 100 мл   </t>
  </si>
  <si>
    <t>https://disk.yandex.ru/d/5-woD2B0Fib4iQ</t>
  </si>
  <si>
    <t>ДОПОЛНИТЕЛЬНЫЙ УХОД ЗА ВОЛОСАМИ</t>
  </si>
  <si>
    <t>Маска восстанавливающая после окрашивания волос, 150 мл</t>
  </si>
  <si>
    <t>https://disk.yandex.ru/d/74fan65bdCtM_A</t>
  </si>
  <si>
    <t>флакон</t>
  </si>
  <si>
    <t>Защищает кожу головы от ожога во время окрашивания волос. Предотвращает поражение волосяных луковиц и уменьшает выпадение волос.
Быстро устраняет неприятные ощущения, возникающие после окрашивания волос: сухость, зуд, раздражение кожи головы. Наполняет структуру волос, возвращает им эластичность, гладкость и блеск.
Маска может использоваться в качестве дополнительного ухода для интенсивного питания ослабленных волос и при наличии проблем с кожей головы.</t>
  </si>
  <si>
    <t>Состав: вода, масло Ши, рисовое масло, экстракт имбиря, масло ягод облепихи холодного отжима, масло календулы, оливковое масло, цетеариловый спирт, биосахаридная камедь, глицерин, экстракт красного клевера, масло семян клюквы, масло Жожоба, комплекс природных полиненасыщенных жирных кислот (Витамин F), лецитин, ликопин, касторовое масло, аллантоин, Витамин В5, эфирное масло апельсина, молочная кислота, абрикосовый воск, токоферола ацетат (Витамин Е), бензиловый спирт, эфирное масло лайма, эфирное масло лаванды, глицерилкаприлат, гуаровая камедь, ксантовая камедь.</t>
  </si>
  <si>
    <t>Для максимального эффекта рекомендуется применять маску по схеме: за день до окрашивания волос и 3-4 раза в течение 2-х недель после окрашивания.
Обладательницам светлых волос рекомендуется применять маску только перед окрашиванием волос во избежание появления у волос нежелательного оттенка.
Равномерно нанесите маску на кожу головы и мягкими массирующими движениями распределите ее по всей поверхности. Наденьте полиэтиленовую шапочку, укутайте голову полотенцем. Подержите маску 30-40 минут, после чего смойте ее с использованием мягкого шампуня.
Для улучшения состояния волос после окрашивания разбавьте небольшое количество маски теплой водой и нанесите ее на 5-7 минут по всей длине волос.
Рекомендуется наносить маску слегка подогретой. Перед нанесением несколько раз интьенсивно встряхните флакон.
Маска быстро впитывается в кожу головы и волосы. Номинальный расход на 1 процедуру – 30-40 грамм (2 столовые ложки). Если окажется, что расход маски больше, разбавьте ее перед нанесением теплой водой.</t>
  </si>
  <si>
    <t>https://disk.yandex.ru/d/jWIqksrt0kCglA</t>
  </si>
  <si>
    <t>https://kleona.com/volosy/maski-dlya-kozhi-golovy-i-volos/rastitel-naya-maska-dlya-zawity-kozhi-golovy-vo-vremya-okrashivaniya-volos-i-dlya-bystrogo-vosstanovleniya-kozhi-golovy-posle-ok/</t>
  </si>
  <si>
    <t>Маска питательная для сухой кожи головы и волос, 150 мл</t>
  </si>
  <si>
    <t>Интенсивно питает и увлажняет кожу головы, улучшает микроциркуляцию крови, ускоряет обменные процессы в клетках. Снимает шелушение, раздражение, устраняет сухую перхоть. Укрепляет корни, останавливает выпадение волос, стимулирует рост новых сильных волос. Наполняет структуру волос, делает их более живыми. Освежает цвет, возвращает здоровый блеск. Повышает устойчивость волос к действию высоких температур и сухого воздуха при термической укладке.</t>
  </si>
  <si>
    <t>Состав: вода, масло Ши, рисовое масло, оливковое масло холодного отжима, активный фитокомплекс из экстракта трав (лаванда, фенхель, хмель, ромашка, мелисса, омела, тысячелистник), цетеариловый спирт, биосахаридная камедь, комплекс из моно- и диглицеридов жирных кислот, натуральный пчелиный мед, масло Жожоба, лецитин, холестерол, касторовое масло, комплекс природных полиненасыщенных жирных кислот (Витамин F), рисовый воск, бензиловый спирт, глицерилкаприлат, глицерин, аллантоин, токоферола ацетат (Витамин Е), эфирное масло апельсина, молочная кислота, абрикосовый воск, ретинола пальмитат (Витамин А), гуаровая камедь, ксантовая камедь.</t>
  </si>
  <si>
    <t>Равномерно нанесите маску на кожу головы и мягкими массирующими движениями распределите ее по всей поверхности. Наденьте полиэтиленовую шапочку, укутайте голову полотенцем. Подержите маску 45-60 минут, после чего смойте ее с использованием мягкого шампуня.
Для улучшения состояния волос разбавьте небольшое количество маски теплой водой и нанесите ее на 5-7 минут по всей длине волос.
Применяйте маску 1-2 раза в неделю. Эффект развивается постепенно, по мере накопления активных компонентов в коже. После 10-12 процедур сделайте перерыв на месяц.
Рекомендуется наносить маску слегка подогретой. Перед нанесением несколько раз интенсчивно встряхните флакон.</t>
  </si>
  <si>
    <t>https://disk.yandex.ru/d/U5jKpr5avcWJaA</t>
  </si>
  <si>
    <t>https://kleona.com/volosy/maski-dlya-kozhi-golovy-i-volos/rastitel-naya-maska-dlya-suhoj-kozhi-golovy-i-povrezhdennyh-lomkih-volos/</t>
  </si>
  <si>
    <t xml:space="preserve">Бальзам для волос "Крапива", 350 мл, сургуч   </t>
  </si>
  <si>
    <t>https://disk.yandex.ru/d/MAB8k1Yca0dTqA</t>
  </si>
  <si>
    <t>Натуральный бальзам для волос «Крапива» - это настоящая природная фабрика для восстановления волос. В нем все компоненты способствуют улучшению состояния волос.
Отвар крапивы,- основа бальзама, считается лучшим средством для укрепления волос. Он уменьшает их выпадение, одновременно избавляя от жирности, ломкости волос и перхоти.
Действие отвара крапивы усиливают эфирные масла лаванды, сосны, шалфея и розмарина. Они оказывают активное и разностороннее воздействие на кожу головы, в результате чего нормализуется питание волос, улучшается их структура, волосы становятся сильными, здоровыми и послушными. Этому же способствует натуральный пчелиный мед.
Хитозан образует на волосах тонкую пленку, которая предохраняет волосы от потери влаги и защищает их от вредного воздействия окружающей среды. Он также  препятствует спутыванию волос и облегчает их расчесывание.
D-пантенол и масло Жожоба нормализуют обмен веществ кожи головы, укрепляют и утолщают волосы, придают им упругость и эластичность, делают волосы более послушными, облегчают укладку, повышают блеск.
Наконец, кислоты,– молочная и сорбиновая, увлажняют волосы и кожу головы, а также  удаляют с волос тонкую пленку кальциевых солей, которая образуется, если мыть волосы в жесткой воде.</t>
  </si>
  <si>
    <t>Состав: отвар крапивы двудомной (Urtíca dióica), пчелиный мед, глицерин, стеарат сахарозы, хитозан, D-пантенол, цетеариловый спирт, молочная кислота, камедь горохового дерева, масло Жожоба, сорбиновая кислота, эфирное масло лаванды (Lavandula officinalis), эфирное масло сосны (Pinus sylvestris L.),  эфирное масло розмарина (Rosmarinus officinalis L.), эфирное масло шалфея мускатного (Salvia sclarea), лактат натрия, сорбат натрия, ретинола ацетат (Витамин А), токоферола ацетат (витамин В).
Не содержит синтетических компонентов, отдушек, красителей.</t>
  </si>
  <si>
    <t>Применение: нанесите бальзам на вымытые волосы. Равномерно распределите его по всей длине волос. Смойте теплой водой.
Для укрепления волос и устранения перхоти используйте бальзам как маску, оставив его на волосах на 5-7 минут.</t>
  </si>
  <si>
    <t>https://disk.yandex.ru/d/Wft3zQsSMeRNMw</t>
  </si>
  <si>
    <t>https://kleona.com/volosy/bal-zamy-i-kondicionery-dlya-volos/bal-zam-krapiva/</t>
  </si>
  <si>
    <r>
      <t xml:space="preserve">ТВЕРДЫЕ ШАМПУНИ для волос в коробочках </t>
    </r>
    <r>
      <rPr>
        <b/>
        <sz val="11"/>
        <rFont val="Arial"/>
        <family val="2"/>
        <charset val="204"/>
      </rPr>
      <t xml:space="preserve"> </t>
    </r>
    <r>
      <rPr>
        <b/>
        <sz val="11"/>
        <color indexed="10"/>
        <rFont val="Arial"/>
        <family val="2"/>
        <charset val="204"/>
      </rPr>
      <t>85</t>
    </r>
    <r>
      <rPr>
        <b/>
        <sz val="10"/>
        <color indexed="10"/>
        <rFont val="Arial"/>
        <family val="2"/>
        <charset val="204"/>
      </rPr>
      <t xml:space="preserve"> г</t>
    </r>
  </si>
  <si>
    <t>Mini</t>
  </si>
  <si>
    <t>"Дегтярный" (для жирных волос)</t>
  </si>
  <si>
    <t>https://disk.yandex.ru/i/d6CJILmxhG580Q</t>
  </si>
  <si>
    <t xml:space="preserve">Эффективное средство против жирности, себореи и выпадения волос. Положительно влияет на регенерацию и заживление поврежденного эпидермиса кожи головы. Успокаивает раздраженную кожу головы. Способствует избавлению от перхоти. При регулярном применении оздоравливает кожу головы, придает волосам ухоженый вид. Одно из лучших средств при псориазе. </t>
  </si>
  <si>
    <t>Состав: омыленная смесь оливкового, кокосового, касторового масел, масла миндальных косточек и масла авокадо, родниковая вода, глицерин, натриевая соль кислот еловой живицы, деготь березовый медицинский, натуральная коллоидная сера, лимонная кислота, протеины кератина, гранулированная целлюлоза, токоферола ацетат (Витамин Е).</t>
  </si>
  <si>
    <t>Способ применения: обильно смочите волосы водой. Легкими движениями намыльте волосы кусочком шампуня до появления обильной пены. Равномерно распределите пену по всей длине волос. Слегка помассируйте кожу головы кончиками пальцев. Хорошо смойте пену водой. При сильном загрязнении волос повторите процедуру.
Рекомендуемая частота применения шампуня: 2-3 раз в неделю.
Что надо знать при использовании твердых шампуней:
1. После применения шампуня хорошо промойте вымытые волосы теплой проточной водой.
2.  По возможности используйте для мытья волос мягкую или умягченную воду. Помните, чем мягче вода, тем лучше вымываются волосы.
3.  Состояние вымытых волос можно дополнительно улучшить, если  сполоснуть вымытые волосы водой с добавленным в нее лимонным соком, яблочным или столовым уксусом из расчета 1 столовая ложка сока (уксуса) на 1 л воды.
4. Не смывайте твердыми шампунями лак для волос, масляные маски и бальзамы, содержащие воска и силиконы. Они с этим типом загрязнений волос не справятся.
5. При использовании твердых шампуней может возникнуть эффект перенасыщения волос маслами. Во избежание этого раз в 2 недели помойте волосы жидким шампунем, подходящим для вашего типа волос.
6. Избегайте попадания пены в глаза. При попадании тщательно промойте глаза теплой водой.
7.  После использования храните шампунь на хорошо проветриваемой мыльнице.
Ограничения по применению: повышенная чувствительность и аллергические реакции на растительные компоненты мыла.</t>
  </si>
  <si>
    <t>https://disk.yandex.ru/d/St0SeQgNlehFrQ</t>
  </si>
  <si>
    <t>https://kleona.com/volosy/tverdye-shampuni/tverdyj-shampun-degtyarnyj/</t>
  </si>
  <si>
    <t>"Дрожжевой" (для поврежденных волос)</t>
  </si>
  <si>
    <t>https://disk.yandex.ru/i/6TJPhphA7DGfgQ</t>
  </si>
  <si>
    <t xml:space="preserve">Натуральный твердый шампунь «Дрожжевой» для мытья нормальных и жирных волос. Придает волосам заметную мягкость, поэтому хорошо подойдет для тонких прямых волос. Изготовлен из смеси шести высококачественных растительных масел. Обогащен пивными дрожжами.   
Пивные дрожжи – это «богатая кладовая», в которой «хранятся» витамины группы В, С, витамин красоты РР, белки, в состав которых входят все незаменимые аминокислоты, углеводы, большой набор минеральных веществ и ферментов. Дрожжи отлично справляются ломкостью, ослабленностью и тусклостью волос. Они возвращают поврежденным волосам мягкостьи объем. </t>
  </si>
  <si>
    <t>Состав: омыленная смесь оливкового, кокосового,касторового масел, масла миндальных косточек и масла авокадо, родниковая вода, глицерин, натриевая соль кислот еловой живицы, натрий сернокислый, натрий лимоннокислый, протеины пивных дрожжей, гранулированная целлюлоза, экстракт черного кофе, бета-каротин, янтарная кислота, токоферола ацетат (Витамин Е).
Не содержит синтетических отдушек, красителей, консервантов.</t>
  </si>
  <si>
    <t>https://disk.yandex.ru/d/sL5xBm9Qjgd3WQ</t>
  </si>
  <si>
    <t>https://kleona.com/volosy/tverdye-shampuni/tverdyj-shampun-drozhzhevoj/</t>
  </si>
  <si>
    <t>"Дубок" (для жирных волос)</t>
  </si>
  <si>
    <t>https://disk.yandex.ru/i/xIbsMxWMAgamGQ</t>
  </si>
  <si>
    <t>Избыточная жирность кожи головы, перхоть, быстрое выпадение волос. Такие проблемы возникают в жизни довольно большого числа людей. Не спешите покупать синтетические лекарственные средства, если и вас беспокоят подобные проблемы. Вам поможет натуральный шампунь «Дубок» с корой дуба, корнем аира и маслом чайного дерева.
Кора дуба и корень аира содержат огромное количество полезных веществ. Прежде всего, это дубильные вещества, которые нормализуют деятельность сальных желез и стимулируют рост новых волос.
Кроме того в этих растениях содержатся органические кислоты, сахара, пектины и множество других веществ, обладающих антисептическим, противовоспалительным и противогрибковым действием.
Эффективность действия шампуня многократно усиливается маслом чайного дерева. Которое, как и кора дуба, является общепризнанным средством для оздоровления жирной кожи головы и предупреждения раннего выпадения волос.
Регулярно применяя шампунь «Дубок», вы достаточно быстро заметите, как вырастет интервал между мытьем волос, улучшится качество ваших волос, увеличится объем прически.</t>
  </si>
  <si>
    <t>Состав: омыленная смесь оливкового, кокосового, касторового масел, масла миндальных косточек и масла авокадо, отвар коры дуба, отвар корневищ аира, отвар ромашки лекарственной, глицерин, натриевая соль кислот еловой живицы, лимонная кислота, протеины кератина, гранулированная целлюлоза, эфирное масло чайного дерева, эфирное масло лавра, эфирное масло шалфея мускатного, янтарная кислота, токоферола ацетат (Витамин Е).
Не содержит синтетических отдушек, красителей, консервантов.</t>
  </si>
  <si>
    <t>https://disk.yandex.ru/d/OBnkT3jzvg4NsQ</t>
  </si>
  <si>
    <t>https://kleona.com/volosy/tverdye-shampuni/tverdyj-shampun-dubok/</t>
  </si>
  <si>
    <t>"Крапива" (для нормальных волос)</t>
  </si>
  <si>
    <t>https://disk.yandex.ru/i/vsQRg4gJ60uyJA</t>
  </si>
  <si>
    <t>Твердый натуральный шампунь для мытья нормальных и жирных волос. Изготовлен из смеси шести растительных масел и обогащен экстрактом крапивы и эфирными маслами герани, жасмина, мяты, эвкалипта, шалфея мускатного. Молочного-белого цвета с зелеными мраморными разводами и приятным травяным ароматом.
Питает, увлажняет волосы, улучшает их структуру, сохраняет яркость цвета и шелковый блеск. Придает волосам объем.
Экстракт крапивы эффективно регулирует деятельность сальных желез, улучшает состояние кожи головы, укрепляет луковицы корней волос, препятствуя преждевременному их выпадению, приводит к уменьшению перхоти. Масло Жожоба прекрасно удерживает на волосах влагу, придавая им ощущение увлажненности и избавляя волосы от неживого и тусклого вида. Витамин Е – антиоксидант, поддерживает здоровье кожи головы и сохраняет целостность волоса.</t>
  </si>
  <si>
    <t>Состав: омыленная смесь оливкового, кокосового, касторового масел, масла миндальных косточек и масла авокадо, отвар крапивы, глицерин, натриевая соль кислот еловой живицы, лимонная кислота, лист крапивы молотый, протеины кератина, гранулированная целлюлоза, масло Жожоба, эфирное масло герани, эфирное масло шалфея мускатного, эфирное масло мяты, эфирное масло эвкалипта, эфирное масло жасмина, янтарная кислота, токоферола ацетат (Витамин Е).
Не содержит синтетических отдушек, красителей, консервантов.</t>
  </si>
  <si>
    <t>https://disk.yandex.ru/d/WN1ZN20aIVyRVg</t>
  </si>
  <si>
    <t>https://kleona.com/volosy/tverdye-shampuni/tverdyj-shampun-krapiva/</t>
  </si>
  <si>
    <t>"Можжевеловый" (для ослабленных волос)</t>
  </si>
  <si>
    <t>https://disk.yandex.ru/i/Q7pFmLVZVJ1YIQ</t>
  </si>
  <si>
    <t>Не все то золото, что блестит. Эта поговорка в полной мере относится к можжевеловому шампуню. Скромный бежевый брусочек со спокойными коричневыми вкраплениями молотых ягод можжевельника и легким хвойным запахом. Он вряд ли произведет впечатление своим внешним видом. Но внутри – это целая кладовая. Экстракт и эфирное масло можжевельника, эфирные масла сосны и кедра. Всех их объединяет способность останавливать выпадение волос, улучшать структуру тонких, поврежденных волос, повышать их эластичность, придавать прическе легкость. Они тонизируют кожу головы, контролируют секрецию сальных желез, стимулируют кровообращение, устраняют перхоть.
Не думайте, что ваши волосы не могут выглядеть красиво только потому, что они жирные или сильно повреждены окраской. С можжевеловым шампунем волосы приобретут и здоровье, и прекрасный внешний вид. Он нежно очистит их, придаст мягкость, блеск и шелковистость, уложит волосок к волоску, увеличит объем прически.
С этим шампунем вам не придется мыть голову каждый день. Кондиционирующие свойства его достаточно сильны, чтобы волосы несколько дней выглядели чистыми.
Уверены, что вы будете приятно удивлены результатом, который получите от можжевелового шампуня. И не только вы.
Можжевеловый шампунь прекрасно подходит для мужских волос. Поэтому, если вы хотите позаботится о своем мужчине, кусочек можжевелового шампуня станет для него хорошим подарком.</t>
  </si>
  <si>
    <t>Состав: омыленная смесь оливкового, кокосового, касторового масел, масла миндальных косточек и масла авокадо, родниковая вода, глицерин, натриевая соль кислот еловой живицы, лимонная кислота, протеины кератина, гранулированная целлюлоза, настойка хвои можжевельника,плоды можжевельника молотые, эфирное масло можжевельника, эфирное масло сосны, эфирное масло лаванды, янтарная кислота, токоферола ацетат (Витамин Е).
Не содержит синтетических отдушек, красителей, консервантов.</t>
  </si>
  <si>
    <t>https://disk.yandex.ru/d/ipBkwCQFN3c4jw</t>
  </si>
  <si>
    <t>https://kleona.com/volosy/tverdye-shampuni/tverdyj-shampun-mozhzhevelovyj/</t>
  </si>
  <si>
    <t>"Репейный" (для сухих волос)</t>
  </si>
  <si>
    <t>https://disk.yandex.ru/i/Q1JD88PN3RlPhQ</t>
  </si>
  <si>
    <t>Натуральный шампунь для сухих волос и чувствительной кожи головы, склонной к шелушению. Обладает противовоспалительным действием. Экстракты лопуха (репейника), хвоща и хмеля -  общепризнанные растительные биостимуляторы, улучшают водный и жировой обмен в клетках кожи, стимулируют рост новых волос.
Протеины кератина уплотняют стержень волоса. Масло Жожоба удерживает влагу в волосах и коже головы, восстанавливает эластичность волос, защищает их от высушивания.</t>
  </si>
  <si>
    <t>Состав:омыленная смесь оливкового, кокосового, касторового масел, масла миндальных косточек и масла авокадо, экстракт корней лопуха (репейника), экстракт хвоща полевого, экстракт шишек хмеля, родниковая вода, глицерин, натриевая соль кислот еловой живицы, лимонная кислота, протеины кератина, гранулированная целлюлоза, масло Жожоба, эфирное масло лаванды, эфирное масло чайного дерева, янтарная кислота, токоферола ацетат (Витамин Е)
Не содержит синтетических отдушек, красителей, консервантов.</t>
  </si>
  <si>
    <t>https://disk.yandex.ru/d/cHj6e9Sb_ZHkOg</t>
  </si>
  <si>
    <t>https://kleona.com/volosy/tverdye-shampuni/tverdyj-shampun-repejnyj/</t>
  </si>
  <si>
    <t>"Розмарин" (для всех типов волос)</t>
  </si>
  <si>
    <t>https://disk.yandex.ru/i/kNPG1EuMQKLQ-w</t>
  </si>
  <si>
    <t>Твердый натуральный шампунь для мытья нормальных и сухих волос. Изготовлен из растительных масел. Обогащен свежевыжатым соком лука, экстрактом красного перца и эфирным маслом розмарина. Ярко-оранжевого цвета с белыми вкраплениями и приятным растительным запахом.
Сок лука – известное высокоэффективное средство от выпадения волос. В народе его называют реаниматором волос. Когда волосы безнадёжно испорчены окрашиванием и химической завивкой именно сок лука поможет им восстановиться и нормально расти.
Красный перец – второе действенное средство, чтобы заставить волосы расти быстрее. Еще наши бабушки знали рецепт масок и бальзамов для волос на основе красного перца. Так почему же не воспользоваться этими знаниями сейчас?
Наконец, эфирное масло розмарина. Оно отлично влияет на рост волос, делает цвет волос более сочным, насыщенным, помогает избавиться от перхоти.</t>
  </si>
  <si>
    <t>Состав: омыленная смесь оливкового, кокосового, касторового масел, масла миндальных косточек и масла авокадо, родниковая вода, свежевыжатый сок лука репчатого, глицерин, натриевая соль кислот еловой живицы, лимонная кислота, протеины кератина, гранулированная целлюлоза, экстракт розмарина, кайенский красный перец, эфирное масло розмарина, эфирное масло ореха мускатного, эфирное масло лаванды, янтарная кислота, токоферола ацетат (Витамин Е).
Не содержит синтетических поверхностно-активных веществ, отдушек, красителей, консервантов.</t>
  </si>
  <si>
    <t>https://disk.yandex.ru/d/iMQCU3EG1p9HfQ</t>
  </si>
  <si>
    <t>https://kleona.com/volosy/tverdye-shampuni/tverdyj-shampun-rozmarin/</t>
  </si>
  <si>
    <r>
      <rPr>
        <b/>
        <sz val="10"/>
        <rFont val="Arial"/>
        <family val="2"/>
        <charset val="204"/>
      </rPr>
      <t xml:space="preserve">МЫЛО серии  «Монастырский сбор»  </t>
    </r>
    <r>
      <rPr>
        <b/>
        <sz val="11"/>
        <color indexed="10"/>
        <rFont val="Arial"/>
        <family val="2"/>
        <charset val="204"/>
      </rPr>
      <t>100 г</t>
    </r>
  </si>
  <si>
    <t>Пробники</t>
  </si>
  <si>
    <t>"Детское" оливковое (противовоспалительное)</t>
  </si>
  <si>
    <t>0+</t>
  </si>
  <si>
    <t>52*80*30</t>
  </si>
  <si>
    <t>Высококачественное натуральное мыло ручной работы для ежедневного применения людьми с нормальной и нежной, чувствительной кожей. Порадует это мыло и тех, у кого сухая или раздраженная кожа. Пригодно для купания маленьких детей.
Мыло лунного цвета с ненавязчивым растительным ароматом. Изготовлено из чистого оливкового масла с добавлением экстрактов лечебных трав: череды, ромашки, календулы. Не содержит синтетических отдушек и красителей.
Нежная сливочная пенка детского мыла деликатно очищает кожу, не стягивая и не высушивая ее. Оливковое масло питает, смягчает кожу, сохранет ее естественную увлажненность. Экстракт череды, ромашки, календулы оказывает на кожу дополнительное смягчающее и успокаивающее действие. С мылом «Детское» кожа становится мягкой, бархатистой, приобретает комфорт и свежесть.</t>
  </si>
  <si>
    <t>омыленное оливковое масло, глицерин, родниковая вода, нерафинированное оливковое масло первого холодного отжима Extra Virgin, экстракт череды, экстракт ромашки лекарственной,  экстракт цветов календулы лекарственной, витамин Е.</t>
  </si>
  <si>
    <t>Способ применения: вспеньте мыло с водой. Нанесите пенку на кожу лица, шеи или тела круговыми массирующими движениями. Сполосните кожу теплой водой. Промокните полотенцем.
Ограничения по применению: аллергические реакции на компоненты мыла.
Рекомендации по хранению и использованию: при интенсивном использовании, при длительном нахождении в мокром состоянии, при высокой температуре (в бане, в сауне) мыло может размякнуть и раскиснуть. Во избежание этого не используйте данное мыло в качестве семейного и банного мыла. Храните его в хорошо проветриваемой перфорированной деревянной или пластиковой мыльнице, которая позволила бы быстро просыхать мыльному кусочку.
Не держите мыло (особенно мокрое) в мыльницах, на полочках, на решетках из металлизированной пластмассы.</t>
  </si>
  <si>
    <t>https://kleona.com/dlya-dusha-i-bani/myla-tualetnye/klassicheskoe-myagkoe-olivkovoe-mylo-detskoe/</t>
  </si>
  <si>
    <t>"Апельсин" (освежающее)</t>
  </si>
  <si>
    <t>Высококачественное натуральное мыло ручной работы бело-желтого цвета с легким цитрусово-цветочным ароматом и красивым мраморным рисунком. Изготовлено из смеси шести растительных масел. Обогащено облепиховым маслом, экстрактом цедры цитрусовых и эфирными маслами лимона, апельсина и грейпфрута. Рекомендуется для ежедневного ухода за нормальной и жирной кожей.
Хорошо очищает. Цитрусовые  масла тонизируют, осветляют и отбеливают кожу, сужают поры, нормализуют секрецию сальных желез. Облепиховое масло способствует быстрому и бесследному заживлению ранок, порезов и различных раздражений. При регулярном применении мыла «Апельсин» улучшается цвет кожи, она приобретает матовость и ухоженный вид. Благостный аромат эфирных масел повышает умственную активность, поднимает настроение.</t>
  </si>
  <si>
    <t>омыленная смесь оливкового, миндального, кокосового, пальмоядрового, рапсового масел и масла какао, глицерин, родниковая вода, пальмовый олеин, облепиховое масло, пчелиный воск, лимонная кислота, цедра цитрусовых, экстракт цедры цитрусовых, эфирные масла грейпфрута, апельсина, лимона, шалфея мускатного, витамин Е.</t>
  </si>
  <si>
    <t>https://disk.yandex.ru/d/CzAFY4RooXRQmg</t>
  </si>
  <si>
    <t>https://kleona.com/dlya-dusha-i-bani/myla-tualetnye/tualetnoe-mylo-apel-sin/</t>
  </si>
  <si>
    <t>"Дегтярное" (оздоровительное)</t>
  </si>
  <si>
    <t>Натуральное  высококачественное  мыло ручной работы. Изготовлено из смеси растительных масел добавлением березового дегтя. Глубокого темно-коричневого цвета с характерным ярко выраженным запахом.  Большой плюс этого мыла  в том, что им можно пользоваться, имея разный тип кожи; оно одинаково хорошо поможет всем людям. Благодаря тщательно подобранному составу растительных масел мыло «Дегтярное» меньше сушит кожу, чем стандартные дегтярные мыла.
Березовый деготь обладает хорошими дезинфицирующими свойствами.  В сочетании с мылом он усиливает приток крови к тканям кожи, положительно влияет на регенерацию тканей эпидермиса, которые были повреждены. Березовый деготь отвечает за подсушивание ранок на коже, тем самым ускоряя процесс их излечения.
Дегтярное мыло успешно применяется при лечении таких кожных заболеваний, как угревая сыпь,  псориаз, чесотка, экзема, чешуйчатый лишай, кожный грибок, различные язвы и сыпи.
Дегтярное мыло обладает и другим уникальным свойством: оно прекрасно моет волосы, делает их сильными и здоровыми, лечит кожу головы.</t>
  </si>
  <si>
    <t>омыленная смесь оливкового, кокосового, касторового масел, масла миндальных косточек и масла авокадо, глицерин, родниковая вода, масло Жожоба, деготь березовый медицинский, гидролизат коллагена, лимонная кислота, витамин Е.</t>
  </si>
  <si>
    <t>Способ применения: для получения действенного эффекта следует умываться дегтярным мылом два раза в день – утром и вечером, регулярно, в течение нескольких недель.
Если мыло используется для мытья головы, пользоваться им надо не чаще 2 раз в неделю.
Не следует мыться дегтярным мылом долгое время без перерыва. Кожа и волосы могут стать излишне сухими, поэтому лучше использовать дегтярное мыло курсами
Ограничения по применению: аллергические реакции на компоненты мыла.
Дополнительная информация: при длительном контакте с водой мыло раскисает. Во избежание этого держите мыло в хорошо проветриваемой перфорированной деревянной или пластиковой мыльнице.
Не храните мыло (особенно влажное) в мыльницах, на полочках, решетках из металлизированной пластмассы.
Мыло имеет специфический запах. Учитывайте это, выбирая способ хранения мыла</t>
  </si>
  <si>
    <t>https://disk.yandex.ru/d/Yyclt_UnQfuZYA</t>
  </si>
  <si>
    <t>https://kleona.com/dlya-dusha-i-bani/myla_s_lechebnym_ehffektom1/mylo_degtyarnoe/</t>
  </si>
  <si>
    <t>"Зверобой" (деодорирующее)</t>
  </si>
  <si>
    <t>Натуральное туалетное мыло, изготовлен-
ное на отварах зверобоя и коры дуба, обога-
щенное маслом чайного дерева. Хорошо очи-
щает и дезодорирует кожу, надолго сохраняя
ощущение чистоты. Не вызывает чувства
сухости и стянутости. Оказывает вяжущее,
бактерицидное и антисептическое действие.
Оздоравливает кожу, уменьшает воспале-
ния, улучшает заживление микротравм, по-
могает справиться с прыщами. Подходит для
ежедневного ухода за нормальной, жирной и
проблемной кожей.</t>
  </si>
  <si>
    <t>омыленные кокосовое, оливковое,
пальмоядровое, касторовое, миндальное
масла, масло манго и масло ши, лецитин, от-
вар травы зверобоя, отвар коры дуба, при-
родный глицерин, масло облепихи, молотый
лист дуба, эфирное масло чайного дерева,
эфирное масло шалфея мускатного, эфирное
масло лавра, лимонная кислота, токоферола
ацетат (витамин Е).</t>
  </si>
  <si>
    <t>https://disk.yandex.ru/d/sEIJ6gIbOcTRuw</t>
  </si>
  <si>
    <t>"Зеленый чай" (антиоксидантное)</t>
  </si>
  <si>
    <t>Натуральное туалетное мыло для ухода за
зрелой, уставшей и сухой кожей. Содержит
полифенолы зеленого чая – мощнейшие при-
родные антиоксиданты, наполняющие кожу
жизненной энергией и обладающие омола-
живающим действием. Тонизирует, снимает
признаки усталости и стресса, улучшает цвет
лица. Мягко очищает, увлажняет кожу, дела-
ет ее упругой и эластичной. При регулярном
применении придает коже матовость и здо-
ровый вид. Подходит для очищения кожи при
атопических изменениях, улучшает её состо-
яние.
Алевтина Кривцова
Высококачественное натуральное мыло, изготовленное из смеси растительных масел. Горчичного цвета, с белым мозаичным рисунком и нежным воздушным ароматом сандала. Обильно обогащено экстрактом зеленого чая.
Зеленый чай - лидер среди растительных антиоксидантов. Он замедляет процесс старения, сохраняет молодость и красоту кожи, улучшает цвет лица. Он обладает хорошими увлажняющими и успокаивающими свойствами, снимает покраснение и раздражение, выравнивает рельеф кожи. 
Мыло «Зеленый чай» рекомендовано для ежедневного ухода за любым типом кожи. При регулярном использовании этого мыла происходит очищение и сужение пор, кожа приобретает естественный матовый, здоровый оттенок. Эфирное масло сандала мягко воздействует на нервную систему, снимает усталость и эмоциональные перегрузки, накопленные за день.</t>
  </si>
  <si>
    <t>омыленные кокосовое, оливковое,
пальмоядровое, касторовое, миндальное
масла, масло манго и масло ши, лецитин, род-
никовая вода, природный глицерин, экстракт
зеленого чая, эфирное масло сандала, эфир-
ное масло лимона, эфирное масло жасмина,
токоферола ацетат (витамин Е).</t>
  </si>
  <si>
    <t>https://disk.yandex.ru/d/RQ12f096sDLQ6g</t>
  </si>
  <si>
    <t>"Йодное" (антибактериальное)</t>
  </si>
  <si>
    <t>Высококачественное натуральное мыло, изготовленное из природной соли, растительных масел, морских водорослей и неорганических соединений йода. Обладает бактерицидным и антисептическим действием. Для ежедневного ухода за проблемной и жирной кожей с видимыми косметическими дефектами. Насыщает кожу микроэлементами: йодом, калием, магнием, кремнием. Бальнеологическое воздействие минеральных солей, морских водорослей и соединений йода способствует запуску естественных механизмов оздоровления кожи. Помогает справится с хроническими воспалительными процессами на коже. Останавливает процесс расслоения ногтей, укрепляет ногтевые пластины.</t>
  </si>
  <si>
    <t>омыленная смесь пальмоядрового, кокосового и касторового масел, природная каменная соль, морская соль, нефильтрованый экстракт ламинарии, нефильтрованый экстракт фукуса, йодид калия, масло Жожоба, глицерин, родниковая вода, лимонная кислота, витамин Е, эфирное масло лайма.</t>
  </si>
  <si>
    <t>https://disk.yandex.ru/d/KHEck_cDtTXjmw</t>
  </si>
  <si>
    <t>https://kleona.com/dlya-dusha-i-bani/myla_s_lechebnym_ehffektom1/mylo_jodnoe/</t>
  </si>
  <si>
    <t>"Календула" (противовоспалительное)</t>
  </si>
  <si>
    <t>Высококачественное натуральное мыло ручной работы. Изготовлено из смеси оливкового, миндального, кокосового, пальмоядрового,  рапсового масел и масла какао. Обогащено целебными травами: чередой, ромашкой и календулой. Светло-янтарного  цвета с вкраплениями молотых трав и цветов. Имеет прохладный цветочно-травяной аромат.
Благодаря тщательно подобранному составу бережно заботится о вашей коже. Хорошо очищает, сохраняя ее естественную увлажненность. Натуральные экстракты лечебных трав смягчают, успокаивают кожу, снимают раздражение, активизируют естественные обменные процессы, восстанавливают жизненные силы, возвращают здоровье и цветущий вид.
При регулярном применении мыло «Календула» уменьшает угревую сыпь на коже лица и тела, предотвращает образование угревых шрамов.
Мыло «Календула» - универсальное. Для молодой и зрелой кожи. Для мужчин и для женщин. Для ежедневного умывания и для бани.</t>
  </si>
  <si>
    <t>омыленная смесь оливкового, миндального, пальмоядрового, кокосового, рапсового масел и масла какао, глицерин, родниковая вода, пальмовый олеин, пчелиный воск, лимонная кислота, масляные экстракты череды, ромашки, календулы, трава череды, цветы ромашки, цветы календулы, эфирные масла жасмина, нероли, эвкалипта и шалфея мускатного, витамин Е.</t>
  </si>
  <si>
    <t>https://disk.yandex.ru/d/nqHlbQg40TAfzA</t>
  </si>
  <si>
    <t>https://kleona.com/dlya-dusha-i-bani/myla-tualetnye/tualetnoe-mylo-kalendula/</t>
  </si>
  <si>
    <t>"Лаванда" (успокаивающее)</t>
  </si>
  <si>
    <t>Высококачественное натуральное мыло ручной работы цвета топленого молока с вкраплениями молотого розмарина, c тонким ароматом нежных луговых трав и освежающей прохладой ручья. Изготовлено из смеси оливкового, миндального, кокосового, пальмоядрового, рапсового масел и масла какао. Обогащено экстрактом розмарина и маслом авокадо.
Предназначено для ежедневного ухода за молодой и зрелой кожей. Прекрасно подходит для  вечернего умывания в качестве успокаивающего релаксирующего, средства. Нежно очищает, увлажняет, смягчает кожу, восстанавливает здоровый цвет лица, устраняет покраснение и шелушение. Чувственный аромат лаванды снимает напряжение, дарит чувство умиротворения. Мыло «Лаванда» легко смоет все признаки усталости, накопившиеся на вашей коже за день.</t>
  </si>
  <si>
    <t>омыленная смесь оливкового, миндального, кокосового, пальмоядрового, рапсового масел и масла какао, глицерин, родниковая вода, лимонная кислота, экстракт розмарина, цветы и листья розмарина, эфирное масло лаванды, эфирное масло шалфея мускатного, Витамин Е</t>
  </si>
  <si>
    <t>https://disk.yandex.ru/d/xFprp9I6NZCr9w</t>
  </si>
  <si>
    <t>https://kleona.com/dlya-dusha-i-bani/myla-tualetnye/tualetnoe-mylo-lavanda/</t>
  </si>
  <si>
    <t>"Монастырское" (мыло-скраб)</t>
  </si>
  <si>
    <t>Высококачественное натуральное мыло-скраб для нормальной и жирной кожи лица. Изготовлено из смеси растительных масел и обогащено природной глиной Рыльского монастыря. Особая структура этой глины позволяет мягко очищать и полировать кожу, попутно насыщая ее минералами, без которых не работают ни ферменты, ни витамины, ни другие физиологически активные вещества. Хорошо отбеливает кожу, улучшает цвет лица. Благотворно воздействует на тусклую кожу и кожу с признаками увядания.
Источник целебной глины – пещера, которая образовалась у источника Святителя Николая в г.Рыльске Курской области. Достоверно известно, что многие больные люди исцелялись здесь от душевного и физического недуга. Использование этой глины прихожанами в лечебных целях освящено благословлением отца Ипполита, настоятеля Рыльского Николаевского монастыря (подробнее об этом можно прочитать  здесь [1], [2]) .</t>
  </si>
  <si>
    <t>омыленная смесь оливкового, миндального, кокосового, пальмоядрового, рапсового масел и масла какао, глина Рыльского монастыря, родниковая вода, глицерин, пальмовый олеин, эфирные масла: лимона, пальмарозы, шалфея мускатного, витамин Е</t>
  </si>
  <si>
    <t>Способ применения: обильно вспеньте мыло с водой. Нанесите пенку на кожу лица, шеи или тела круговыми массирующими движениями. Промассируйте кожу 1-2 минуты. Сполосните кожу теплой водой. Промокните ее полотенцем.
Проводите процедуру 1-2 раза в неделю
Ограничения по применению: аллергические реакции на компоненты мыла.
Дополнительная информация: при длительном контакте с водой мыло раскисает. Во избежание этого держите мыло в хорошо проветриваемой перфорированной деревянной или пластиковой мыльнице.
Не храните мыло (особенно влажное) в мыльницах, на полочках, решетках из металлизированной пластмассы</t>
  </si>
  <si>
    <t>https://disk.yandex.ru/d/L079dJRrigzd-A</t>
  </si>
  <si>
    <t>https://kleona.com/dlya-dusha-i-bani/skraby1/mylo-skrab-monastyrskoe/</t>
  </si>
  <si>
    <t>"Облепиха" (регенерирующее)</t>
  </si>
  <si>
    <t>Высококачественное натуральное мыло ручной работы из оливкового, миндального, кокосового, пальмоядрового, рапсового масел и масла какао. Обогащено облепиховым маслом и целебными эфирными маслами иланг-иланг, нероли и эвкалипта. Имеет красивую бело-желтую мраморную окраску и неповторимый, с горчинкой, цветочный аромат.
При умывании образует мелкую маслянистую пенку, которая нежно очищает вашу кожу. После смывания оставляет на коже тонкую пленку из облепихового масла, насыщенного эфирными маслами, которая сохраняет ее естественную увлажненность, питает целебными веществами, ускоряет процессы заживления микротравм и обновления клеток, делает кожу мягкой, бархатной, шелковистой.
Мыло «Облепиха» - для ежедневного применения. Для любого типа кожи. Оно предназначено тем, кто хочет получить бережный уход за своей кожей и помочь ей быстро восстановиться в сложных условиях современной жизни.</t>
  </si>
  <si>
    <t>омыленная смесь оливкового, миндального, кокосового, пальмоядрового, рапсового масел и масла какао, глицерин, родниковая вода, облепиховое масло, пчелиный воск, лимонная кислота, эфирные масла иланг-иланг, нероли, эвкалипта, витамин Е.</t>
  </si>
  <si>
    <t>https://disk.yandex.ru/d/HKDXq2fbyYyHWw</t>
  </si>
  <si>
    <t>https://kleona.com/dlya-dusha-i-bani/myla-tualetnye/tualetnoe-mylo-oblepiha/</t>
  </si>
  <si>
    <t>"Петрушка" (отбеливающее)</t>
  </si>
  <si>
    <t>Высококачественное натуральное мыло ручной работы. Изготовлено из смеси шести растительных масел. Обогащенно экстрактом петрушки. Мыло интенсивно-зеленого цвета с вкраплениями свежей травы петрушки, с приятным травяным ароматом.
Для ежедневного ухода за нормальной, а также чувствительной кожей лица и тела. Прекрасно тонизирует кожу, избавляет ее от жирного блеска, предохраняет от возникновения морщин. Несколько осветляет кожу, отбеливает веснушки и пигментные пятна на лице и на теле. Действует как дезинфицирующее средство. Снимает раздражение, покраснение, способствует заживлению мелких ранок, царапин, неглубоких ожогов.</t>
  </si>
  <si>
    <t>омыленная смесь оливкового, миндального, кокосового, пальмоядрового, рапсового масел и масла какао, глицерин, родниковая вода, пальмовый олеин, масляный экстракт петрушки, трава петрушки, пчелиный воск, лимонная кислота, витамин Е.</t>
  </si>
  <si>
    <t>https://disk.yandex.ru/d/qHFUFgn8ESW-Aw</t>
  </si>
  <si>
    <t>https://kleona.com/dlya-dusha-i-bani/myla-tualetnye/tualetnoe-mylo-petrushka/</t>
  </si>
  <si>
    <t>"Полынь" (противовоспалительное)</t>
  </si>
  <si>
    <t>Натуральное туалетное мыло, изготовлен-
ное на отваре полыни. Хорошо устраняет
загрязнения, глубоко очищает поры, норма-
лизует деятельность сальных желез. Оказы-
вает антисептическое, бактерицидное, про-
тивовоспалительное действие, способствует
уменьшению раздражения на коже. Улучшает
защитные свойства кожи. Для ежедневного
ухода за нормальной, жирной и проблемной
кожей; для бритья; для обработки кожи с сса-
динами. Хорошо подходит для ухода за нога-
ми; уменьшает потливость, оказывает проти-
вогрибковое действие.</t>
  </si>
  <si>
    <t>омыленные кокосовое, оливковое,
пальмоядровое, касторовое, миндальное
масла, масло манго и масло ши, лецитин, от-
вар полыни, природный глицерин, лимонная
кислота, эфирное масло сандала, эфирное
масло полыни, эфирное масло шалфея му-
скатного, хлорофилл, эфирное масло пачули,
токоферола ацетат (витамин Е).</t>
  </si>
  <si>
    <t>https://disk.yandex.ru/d/o3Cd4AWAssJi7A</t>
  </si>
  <si>
    <t>"Соляное" (антибактериальное)</t>
  </si>
  <si>
    <t>Высококачественное натуральное мыло ручной работы, изготовленое "с нуля" из природной соли и растительных масел. Белого цвета, с ярко выраженным цветочно-мятным ароматом. Для нормальной, жирной и проблемной кожи лица и тела.
Обладает выраженным биологически активным действием. Дезинфицирует кожу. Способствует быстрому заживлению ранок, царапин, порезов. При применении в бане и сауне активно очищает поры. Эффективно подсушивает юношеские прыщи и угревую сыпь. Снимает опрелости. Уменьшает беспокойство при зудящей коже и отечность при укусах насекомых. При регулярном и длительном использовании укрепляет ногтевые пластины. Аромат мяты перечной дает ощущение свежести, поднимает настроение, увеличивает жизненную силу.
Рекомендовано для ежедневного умывания, но будет полезно и в  душе, и в бане.</t>
  </si>
  <si>
    <t>омыленная смесь кокосового, пальмоядрового, касторового масел и масла какао, природная соль, глицерин, родниковая вода, лимонная кислота, эфирные масла иланг-иланг, мяты перечной, витамин Е</t>
  </si>
  <si>
    <t>https://disk.yandex.ru/d/CavCMkZK5Td_xg</t>
  </si>
  <si>
    <t>https://kleona.com/dlya-dusha-i-bani/myla_s_lechebnym_ehffektom1/mylo_solyanoe/</t>
  </si>
  <si>
    <t>"Шалфей" (омолаживающее)</t>
  </si>
  <si>
    <t>Высококачественное натуральное мыло ручной работы цвета «молока с шоколадом» со сладко-терпким ароматом  летней степи и вкраплениями молотой травы шалфея. Для ежедневного ухода за кожей лица и тела. Для любого типа кожи.
Изготовлено из смеси оливкового, миндального, кокосового, пальмоядрового, рапсового масел и масла какао. Обогащено масляным экстрактом и эфирным маслом шалфея мускатного.
Мыло «Шалфей» - это мыло большого города. В условиях плохой экологии наша кожа страдает первой. Она высыхает и увядает быстрее, чем полагается ей по возрасту. И здесь незаменим шалфей, главное свойство которого - предотвращать преждевременное старение кожи, продлевать ее молодость.
Мыло «Шалфей» не только хорошо очистит вашу кожу, но и нормализует обменные процессы в ней. Экстракт шалфея увлажнит, смягчит, разгладит кожу, улучшит ее внешний вид, а вдыхаемое эфирное масло шалфея снимет накопившееся за день мышечное и эмоциональное напряжение.</t>
  </si>
  <si>
    <t>омыленная смесь оливкового, миндального, кокосового, пальмоядрового, рапсового масел и масла какао, глицерин, родниковая вода, пальмовый олеин, пчелиный воск, лимонная кислота, масляный экстракт шалфея мускатного, трава шалфея мускатного, эфирное масло шалфея мускатного, эфирное масло кедра, витамин Е.</t>
  </si>
  <si>
    <t>https://disk.yandex.ru/d/yEbnb1rZbHQKWg</t>
  </si>
  <si>
    <t>https://kleona.com/dlya-dusha-i-bani/myla-tualetnye/tualetnoe-mylo-shalfej/</t>
  </si>
  <si>
    <t>Мыло на деревянной решетке в ассортименте</t>
  </si>
  <si>
    <t xml:space="preserve">Мыло mini 40 г в ассортименте              </t>
  </si>
  <si>
    <t>40 г</t>
  </si>
  <si>
    <t>Пробники мыла в ассортименте, упак. в полиэтилен 20 г</t>
  </si>
  <si>
    <t>20 г</t>
  </si>
  <si>
    <t>ЭКЗОТИЧЕСКИЕ МЫЛА</t>
  </si>
  <si>
    <t>"Африканское" с масло Ши, 120 г</t>
  </si>
  <si>
    <t>120 г</t>
  </si>
  <si>
    <t>83*59*37</t>
  </si>
  <si>
    <t>Это туалетное мыло для тех, кто стремится иметь красивую, здоровую кожу. Оно уникально, так как практически целиком изготовлено из масла Ши. Деликатно очищает кожу, прекрасно удерживает в ней влагу, не сушит. В состав мыла входит  масло вечнозеленого дерева маргозы (масло Ним), которое обладает выраженным противовоспалительным действием, и древесный уголь, который выполняет роль нежного природного эксфолианта. Эфирные масла лаванды, эвкалипта и лимонной травы усиливают действие масла Ним и придают мылу приятный травяной аромат с яркими цитрусовыми нотами.
Африканское черное мыло  прекрасно подходит для ежедневного ухода за нормальной и жирной кожей лица и тела. При регулярном применении улучшает цвет кожи, придаёт ей здоровый вид.
Вы также можете воспользоваться лечебными свойствами  этого мыла для устранения черных точек на лице, угревой сыпи и других проблем с кожей.</t>
  </si>
  <si>
    <t xml:space="preserve">омыленная смесь нерафинированного масла Ши, пальмового масла и кокосового масла, вода, древесный уголь, масло Ним (Azadirachta indica oil), природный глицерин, эфирное масло лаванды (Lavandula officinalis Chaix), эфирное масло эвкалипта (Оleum Eucalyptus globulus), эфирное масло лимонной травы (Cymbopogon citratus). </t>
  </si>
  <si>
    <t>https://disk.yandex.ru/d/xdobTgTR7TGt6w</t>
  </si>
  <si>
    <t>https://kleona.com/dlya-dusha-i-bani/myla-ekzoticheskie/chyornoe-afrikanskoe-mylo-s-maslom-shi/</t>
  </si>
  <si>
    <t xml:space="preserve">Мыло-скраб "Марокканское бельди"  с эвкалиптом, 75 мл  </t>
  </si>
  <si>
    <t>Марокканское Бельди - это натуральное скраб-мыло, изготовленное вручную из оливкового масла и листьев эвкалипта. Напоминающее по текстуре темное коричнево-зеленое масло, это удивительное по своим косметическим и целебным свойствам мыло издавна используется для глубокого очищения кожи в восточных банях «хаммам».
При правильном применении способствует быстрому размягчению ороговевших клеток кожи, облегчает их отшелушивание, раскрывает поры, ускоряет выведение шлаков и токсинов, омолаживает кожу, выравнивает ее цвет, придает коже волшебную бархатистость. Дополнительный общеукрепляющий эффект достигается от вдыхания масла эвкалипта, которое снимает усталость и облегчает дыхание.
Изготавливаемое по оригинальной рецептуре на основе традиционных восточных ингредиентов и современных технологий, мягкое мыло Бельди станет незаменимым не только во время посещения бани, но и в ванной комнате вашего дома.</t>
  </si>
  <si>
    <t xml:space="preserve">мягкое натуральное мыло из оливкового масла, молотый лист эвкалипта, нерафинированное оливковое масло, эфирное масло эвкалипта (Оleum Eucalyptus globulus), витамин Е. </t>
  </si>
  <si>
    <t>Нанесите небольшое количество скраб-мыла на распаренную кожу лица и тела и оставьте его на 3-4 минуты. Жесткой рукавицейили мочалкой круговыми движениями потрите кожу. Смойте мыло теплой водой. Процедуру очищения завершите легким массажем с нанесением ухаживающих масел.
Для бани, сауны и домашнего использования в душе. Для любого типа кожи, в том числе и для чувствительной.</t>
  </si>
  <si>
    <t>https://disk.yandex.ru/d/T0ezgDh9Kv3nlA</t>
  </si>
  <si>
    <t>https://www.kleona.com/dlya-dusha-i-bani/myla_myagkie_beldi/marokkanskoe-bel-di/</t>
  </si>
  <si>
    <t>Мыло-скраб "Марокканское бельди"  с эвкалиптом, 250 мл</t>
  </si>
  <si>
    <t>https://disk.yandex.ru/d/8Ldntc5vQV-Shg</t>
  </si>
  <si>
    <t>Мыло-скраб "Марокканское бельди" с эвкалиптом, 1000 мл</t>
  </si>
  <si>
    <t>1000 мл</t>
  </si>
  <si>
    <t>https://disk.yandex.ru/d/UfuMXngjHtrViA</t>
  </si>
  <si>
    <t>"Турецкое" с карамелью и корицей, 120 г</t>
  </si>
  <si>
    <t>120 мл</t>
  </si>
  <si>
    <t>Это мыло предназначено для одной из самых популярных процедур турецкой бани – пенного массажа. Теперь насладиться им вы можете и у себя дома. Изготовленное холодным способом из чистых растительных масел, мыло даёт лёгкую обильную пену, которая, словно облако, укрывает тело. Под нежным слоем воздушных пузырьков вы быстро погрузитесь в состояние приятной неги. Прекрасный аромат карамели и восточных пряностей снимет стресс, накопившийся за день. Большое содержание в мыле  сахаров позволит вам еще долго наслаждаться бархатной, упругой, увлажненной кожей.
Используйте мыло как туалетное, для ежедневного применения, или как банное. Рекомендуется для нормальной и жирной кожи. Доставит истинное удовольствие и взрослым, и детям.</t>
  </si>
  <si>
    <t>омыленная смесь оливкового, пальмового и кокосового масел, вода, карамель, природный глицерин, корица (Cinnamomum zsylankum), гвоздика (Syzygium aromaticum L.).</t>
  </si>
  <si>
    <t>Дома, в бане, в сауне: намыльте разогретое тело непосредствненно куском мыла. Обработайте тело мочалкой. Смойте пену теплой водой.
Для проведения пенного массажа: с помощью пенного мешка получите пену. Нанесите пену на предварительно вымытое с мочалкой или руковичкой Kessaтело. Проведите массаж. Смойте остатки пены теплой водой. Нанесите на тело ухаживающее масло.
Ограничения по применению: аллергические реакции на компоненты мыла.
Дополнительная информация: при длительном контакте с водой мыло раскисает. Во избежание этого держите мыло в хорошо проветриваемой перфорированной деревянной или пластиковой мыльнице.
Не храните мыло (особенно влажное) в мыльницах, на полочках, решетках из металлизированной пластмассы.</t>
  </si>
  <si>
    <t>https://disk.yandex.ru/d/4uAZH3vLUQhLwQ</t>
  </si>
  <si>
    <t>https://kleona.com/dlya-dusha-i-bani/myla-ekzoticheskie/tureckoe-mylo-s-karamel-yu/</t>
  </si>
  <si>
    <t xml:space="preserve">Мыло ПОДАРОЧНОЕ     </t>
  </si>
  <si>
    <t>4627186340919</t>
  </si>
  <si>
    <t xml:space="preserve">Мыло подарочное в коробке "Курский соловей", 105 г  </t>
  </si>
  <si>
    <t>105 г</t>
  </si>
  <si>
    <t>Частичка Курского края в маленькой птичке. Высококачественное мыло изготовлено на основе растительных масел, отвара коры дуба с добавлением молотых дубовых листьев и натуральным ароматом эфирных масел шалфея и чайного дерева. Нежная сливочная пенка деликатно, не стягивая и не пересушивая, очистит кожу, придаст ей приятную бархатистость, свежесть и комфорт.</t>
  </si>
  <si>
    <t>Состав: омыленная смесь оливкового, кокосового масел, масла клещевины, масла миндальных косточек и масла авокадо, отвар коры дуба, молотый лист дуба, глицерин, лимонная кислота, витамин Е,  эфирное масло чайного дерева, эфирное масло шалфея мускатного.</t>
  </si>
  <si>
    <t>4627186340582</t>
  </si>
  <si>
    <t xml:space="preserve">Мыло "Лаванда" в коробке, 85 г   </t>
  </si>
  <si>
    <t xml:space="preserve">Для ежедневного ухода за нормальной, сухой и чувствительной кожей лица.
Возьмите в руки нежное мыло и вдохните чувственный аромат  горной лаванды с тонкими нотами луговых трав. Мягкая пена, обогащенная миндальным маслом, деликатно очистит кожу, сохранив ее естественную мягкость и увлажненность, поможет снять признаки усталости. Чудесный запах мыла освободит вас от напряжения прошедшего дня, подарит ощущение спокойствия и умиротворения.
</t>
  </si>
  <si>
    <t>Состав мыла: омыленная смесь пальмового, кокосового, оливкового, касторового, пальмоядрового масел и масла авокадо, глицерин растительного происхождения, вода, масло миндальных косточек, экстракт лаванды, лактат натрия, цитрат натрия, a-токоферола ацетат (Витамин Е), эфирное масло лаванды, эфирное масло полыни, эфирное масло лимонной травы.</t>
  </si>
  <si>
    <t>4627186340575</t>
  </si>
  <si>
    <t xml:space="preserve">Мыло "Роза" в коробке, 85 г  </t>
  </si>
  <si>
    <t xml:space="preserve">Для ежедневного ухода за кожей лица и тела любого типа.
Возьмите в руки нежное мыло и растворитесь  в свежем аромате распускающейся розы. Сливочная пена, обогащенная маслом жожоба, деликатно очистит самую чувствительную кожу, сохранив ее естественную мягкость и увлажненность, придаст приятную свежесть и бархатистость. Жизнерадостный, искрящийся аромат этого мыла подарит позитивное настроение каждому дню.
</t>
  </si>
  <si>
    <t>Состав мыла: омыленная смесь пальмового, кокосового, оливкового, касторового, пальмоядрового масел и масла авокадо, глицерин растительного происхождения, вода, масло жожоба, лактат натрия, цитрат натрия, a-токоферола ацетат (Витамин Е), эфирное масло розового дерева, эфирное масло розы, эфирное масло герани, экстракт меда.</t>
  </si>
  <si>
    <t>78 г</t>
  </si>
  <si>
    <t>Это нежное натуральное мыло подарит ощущение безмятежности, влюбленности и расслабленности. Обильная сливочная пенка деликатно очистит кожу, смягчит её, придаст чувство чистоты и комфорта. Успокаивающий_x0003_и терпкий аромат лаванды с цветочными нотами подарит настроение Нового года и  Рождества.</t>
  </si>
  <si>
    <t>Состав: омыленная смесь пальмоядрового, кокосового, оливкового, рисового, касторового масел и масла бабассу, лактат натрия, цитрат натрия, соевые фосфолипиды, токоферола ацетат (Витамин Е), эфирное масло лаванды, эфирное масло шалфея мускатного, эфирное масло имбиря, белая глина (каолин), синефиолетовый минеральный пигмент ультрамарин, эфирное масло мускатного ореха, красный минеральный пигмент.</t>
  </si>
  <si>
    <t>Способ применения: используйте мыло привычным для вас способом</t>
  </si>
  <si>
    <t>Натуральное твердое высокопенное туалетное мыло с маслом облепихи и ароматом лаванды и мандарина для ежедневного умывания лица и тела. Нежно очистит кожу, придаст ей здоровый и ухоженный вид. Яркий цветочно-цитрусовый аромат подарит прекрасное настроение и напомнит о светлом празднике Рождества. Мыло упаковано в подарочную коробочку, сверху закрыто прозрачной пластиковой крышкой.</t>
  </si>
  <si>
    <t>омыленная смесь оливкового, кокосового, касторового, пальмоядрового масел, масла манго и масла авокадо, облепиховое масло, лактат натрия, цитрат натрия, соевые фосфолипиды, a-токоферола ацетат (Витамин Е), эфирное масло лаванды, эфирное масло лемонграсс, эфирное масло эвкалипта.</t>
  </si>
  <si>
    <t>Способ применения: используйте мыло привычным для вас способом.</t>
  </si>
  <si>
    <t>Натуральное твердое высокопенное туалетное мыло с легким ароматом ванили и нотками лимона. Для ежедневного умывания лица и тела. Сливочная пенка из растительных масел деликатно очистит кожу, смягчит ее, придаст чувство чистоты и комфорта. Аромат ванили с нотками цитрусовых подарит настроение Рождественского вечера. Мыло упаковано в подарочную коробочку, сверху закрыто прозрачной пластиковой крышкой.</t>
  </si>
  <si>
    <t>омыленная смесь оливкового, кокосового, касторового, пальмоядрового масел, масла манго и масла авокадо, лактат натрия, цитрат натрия, соевые фосфолипиды, a-токоферола ацетат (Витамин Е), эфирное масло лемонграсс, эфирное масло шалфея мускатного, эфирное масло полыни, эфирное масло лаванды, ванилин.</t>
  </si>
  <si>
    <t>Натуральное твердое высокопенное туалетное мыло из смеси шести растительных масел с добавкой целебных растений и эфирных масел можжевельника, лаванды, шалфея мягко очистит кожу и укрепит ее защитные свойства. Легкий хвойный аромат окутает свежестью и поднимет настроение. Для ежедневного умывания лица и тела. Не сушит, не стягивает кожу. Мыло упаковано в подарочную коробочку, сверху закрыто прозрачной пластиковой крышкой.</t>
  </si>
  <si>
    <t>омыленная смесь оливкового, кокосового, касторового, пальмоядрового масел, масла манго и масла авокадо, сосновая хвоя (молотая), лактат натрия, цитрат натрия, хлорофиллин натрия, a-токоферола ацетат (Витамин Е), эфирное масло сосны, эфирное масло можжевельника, эфирное масло шалфея мускатного, эфирное масло лаванды.</t>
  </si>
  <si>
    <t>145 г</t>
  </si>
  <si>
    <t>Высококачественное мыло с легким ароматом апельсина и корицы. Сливочная пенка нежно очищает кожу, обеспечивая безопасный и деликатный уход. Облепиховое масло сохраняет естественную увлажненность кожи, придает ей упругость и бархатистость. Эфирное масло шалфея мускатного улучшает цвет кожи, она приобретает матовость и ухоженный вид. Яркий аромат апельсина и корицы наполняет теплом и поднимает настроение.</t>
  </si>
  <si>
    <t>омыленная смесь оливкового, кокосового, касторового, пальмоядрового масел, масла манго и масла авокадо, глицерин, родниковая вода, пальмовый олеин, облепиховое масло, пчелиный воск, лимонная кислота, экстракт цедры цитрусовых, эфирное масло апельсина, эфирное масло шалфея мускатного, эфирное масло корицы, витамин Е, корица молотая.</t>
  </si>
  <si>
    <t>Для нежной, чувствительной, а также сухой кожи лица и тела. Мыло из 100%-ного оливкового масла с экстрактами лечебных трав календулы, череды, ромашки. Бережно очищает, смягчает и сохраняет увлажненность кожи. Не сушит и не стягивает. Уменьшает воспаление и раздражение на коже, успокаивая ее. Гипоаллергенно.</t>
  </si>
  <si>
    <t>омыленное оливковое масло, глицерин, родниковая вода, нерафинированное оливковое масло первого холодного отжима Extra Virgin, экстракт череды, экстракт ромашки лекарственной, экстракт цветов календулы лекарственной, витамин Е.</t>
  </si>
  <si>
    <t>Высококачественное натуральное мыло c тонким ароматом лаванды и освежающей прохладой мяты. Предназначено для ежедневного ухода за кожей. Прекрасно подходит для вечернего умывания в качестве успокаивающего и освежающего средства. Нежно очищает, увлажняет, смягчает кожу, восстанавливает здоровый цвет лица,устраняет покраснение и шелушение. Чувственный аромат лаванды и мяты снимает напряжение, дарит чувство умиротворения.</t>
  </si>
  <si>
    <t>омыленная смесь оливкового, кокосового, касторового, пальмоядрового масел, масла манго и масла авокадо, глицерин, отвар травы лаванды, пальмовый олеин, экстракт шалфея мускатного, экстракт душицы, лимонная кислота, эфирное масло лаванды, эфирное масло мяты перечной, эфирное масло лимона, витамин Е.</t>
  </si>
  <si>
    <t>Высококачественное натуральное мыло с нежной текстурой пены и ароматом домашнего печенья. Козье молоко с пчелиным медом и протеинами овса хорошо питают и увлажняют, оказывают смягчающее воздействие на кожу, уменьшают сухость и шелушение после холодного зимнего ветра. Экстракт цветов липы и эфирное масло ореха мускатного, омолаживают кожу, освежают, возвращая ей природную нежность. Тонкий аромат мыла наполняет теплом домашнего уюта.</t>
  </si>
  <si>
    <t xml:space="preserve"> омыленная смесь оливкового, кокосового, касторового, пальмоядрового масел, масла манго и масла авокадо, глицерин, родниковая вода, козье молоко, пальмовый олеин, экстракт цветов липы, пчелиный мед, пчелиный воск, протеины овса, лимонная кислота, экстракт пчелиного меда, эфирное масло мускатного ореха, витамин Е.</t>
  </si>
  <si>
    <t>Мыло в мешочке "Оливковое", 145 г</t>
  </si>
  <si>
    <t xml:space="preserve">Высококачественное мыло с легким мыльным ароматом. Для ежедневного умывания нежной, чувствительной кожи. Деликатное мыло, сделанное исключительно из оливкового масла и дополнительно обогащенное оливковым маслом Extra Virgin первого холодного отжима для максимально бережного ухода за кожей. Нежно очищает и увлажняет кожу. Сохраняет ее молодость. Придает коже приятную шелковистость. Гипоаллергенно. </t>
  </si>
  <si>
    <t xml:space="preserve">Состав: омыленная смесь нерафинированного оливкового масла первого холодного отжима марки Extra Virgin, кокосового масла, касторового масла, родниковая вода, витамин Е. </t>
  </si>
  <si>
    <t xml:space="preserve">Способ применения: вспеньте мыло с водой, нанесите на кожу, смойте теплой водой. </t>
  </si>
  <si>
    <t>https://disk.yandex.ru/d/LZhv6FWBPi8GNA</t>
  </si>
  <si>
    <t xml:space="preserve">Подарочный набор "Вечерняя роза", мыло 2х75 г  </t>
  </si>
  <si>
    <t>2х75 г</t>
  </si>
  <si>
    <t xml:space="preserve">Начните свой вечер с легкого аромата мыла «Вечерняя роза». Его интригующая, неповторимая гармония приоткроет тайну Вашей женственности. Натуральное мыло ручной работы подойдет для всех типов кожи. Обогащенная маслом виноградной косточки легкая сливочная пена одарит вашу кожу тремя дарами: сделает ее мягкой, бархатистой и сияющей. </t>
  </si>
  <si>
    <t>Состав: омыленная смесь оливкового, кокосового, пальмового масел и масло миндальных косточек, масло виноградных косточек, витамин Е, парфюмерная композиция 073737.</t>
  </si>
  <si>
    <t xml:space="preserve">Применение: вспеньте мыло с водой, нанесите на кожу легкими круговыми движениями, смойте теплой водой. 
Противопоказания: аллергические реакции на компоненты мыла. </t>
  </si>
  <si>
    <t>https://disk.yandex.ru/d/yHPAp3akJQnMzg</t>
  </si>
  <si>
    <t xml:space="preserve">Подарочный набор "Вишневый сад", мыло 2х75 г </t>
  </si>
  <si>
    <t xml:space="preserve">Прикоснитесь к миллиону крошечных воздушных пузырьков с легким ароматом мыла «Вишневый сад». Натуральное мыло ручной работы на оливковом масле с добавлением масла карите подходит для всех типов кожи, особенно для сухой и чувствительной. Сливочная пена окутывает магией изысканного аромата. Масло карите прекрасно увлажняет и смягчает кожу, дарит ей красоту и шелковистость. </t>
  </si>
  <si>
    <t>Состав: омыленная смесь оливкового, кокосового масел, масла карите, пальмовое масло, органическое растительное масло, вода, эфирное масло лимона, витамин Е, парфюмерная композиция 7339.</t>
  </si>
  <si>
    <t>https://disk.yandex.ru/d/gsiL44bPV83NKw</t>
  </si>
  <si>
    <t xml:space="preserve">Подарочный набор "Ретро рояль", мыло 2х75 г  </t>
  </si>
  <si>
    <t xml:space="preserve">Натуральное растительное мыло ручной работы «Ретро рояль» - как напоминание о вечной любви к классической музыке. Оливковое масло, масло миндальных косточек и благородный аромат - это классика вне моды и времени. Прекрасно увлажняет и смягчает, подходит для всех типов кожи. </t>
  </si>
  <si>
    <t>омыленная смесь оливкового, кокосового, пальмового, касторового масел, масло миндальных косточек, витамин Е, парфюмерная композиция 7334.</t>
  </si>
  <si>
    <t>https://disk.yandex.ru/d/9IU2so7ihhtQ6A</t>
  </si>
  <si>
    <t xml:space="preserve">Подарочный набор "Цветок лилии", мыло 2х75 г  </t>
  </si>
  <si>
    <t xml:space="preserve">Тонкий аромат мыла «Цветок лилии» вторит самой природе женщины, её элегантности, очарованию, хрупкости. Запах околдовывает, наполняя сердце волнением и сладостным предвкушением. Мягкая сливочная пенка нежно и деликатно ухаживает за Вашей кожей. Натуральное мыло ручной работы, обогащенное маслом жожоба, сохранит природную увлажненность кожи, придаст ей шелковистость и сияние. </t>
  </si>
  <si>
    <t>Состав: омыленная смесь оливкового, кокосового, пальмового масел и масла миндальных косточек, масло жожоба, эфирное масло лаванды, витамин Е, парфюмерная композиция 7341.</t>
  </si>
  <si>
    <t>https://disk.yandex.ru/d/uf9FwzJv6VJ1sA</t>
  </si>
  <si>
    <r>
      <t xml:space="preserve">Мыло БАННОЕ    </t>
    </r>
    <r>
      <rPr>
        <b/>
        <sz val="10"/>
        <color indexed="10"/>
        <rFont val="Arial"/>
        <family val="2"/>
        <charset val="204"/>
      </rPr>
      <t xml:space="preserve"> в коробочках !!!!!!!!!!!!!!!!!!!</t>
    </r>
  </si>
  <si>
    <t xml:space="preserve">"Апельсиновое" с миндальным маслом и мятой, 145 г </t>
  </si>
  <si>
    <t>цитрусовый сладкий</t>
  </si>
  <si>
    <t>оранжево-желтый</t>
  </si>
  <si>
    <t>90*61*27</t>
  </si>
  <si>
    <t>Действие: натуральное твёрдое мыло с сочным цитрусовым ароматом. Сочетает в себе великолепную пенистость и высокие очищающие свойства. Эфирное масло апельсина придает коже тонус, упругость и эластичность, улучшает её цвет, нормализует работу сальных желез. Рекомендовано для ухода за нормальной и склонной к жирности кожей. Для ежедневного применения в качестве банного или туалетного мыла.</t>
  </si>
  <si>
    <t>омыленная смесь кокосового, оливкового, пальмового, касторового масел, экстракт апельсиновой цедры, эфирное масло апельсина, масло миндальных косточек, масло облепихи, лимонен, экстракт марены красильной, эфирное масло мяты перечной, лимонная кислота, токоферола ацетат (витамин Е).</t>
  </si>
  <si>
    <t>вспеньте мыло с водой. Нанесите на кожу круговыми массирующими движениями. Тщательно смойте тёплой водой.</t>
  </si>
  <si>
    <t>https://disk.yandex.ru/d/SKODucInnJS5-Q</t>
  </si>
  <si>
    <t>https://kleona.com/dlya-dusha-i-bani/myla-bannye-vysokopennye/mylo-bannoe-natural-noe-apel-sin/</t>
  </si>
  <si>
    <t xml:space="preserve">"Зверобой" противовоспалит., деодорирующее, 145 г  </t>
  </si>
  <si>
    <t>древесно-травяной</t>
  </si>
  <si>
    <t>коричневый с желтыми вкраплениями</t>
  </si>
  <si>
    <t xml:space="preserve">Натуральное высокопенное мыло, изготовленное на отваре зверобоя, с тонким ароматом целебных трав и древесными нотами дуба и чайного дерева. Отлично пенится, хорошо очищает кожу, не вызывая чувства сухости и стянутости. Обладает вяжущими, дезодорирующими и  антисептическими свойствами. Уменьшает воспаления на коже, способствует заживлению прыщиков и мелких ранок. Оздоравливает кожу, укрепляет её защитные свойства. Для ежедневного применения в качестве банного или туалетного мыла. 
</t>
  </si>
  <si>
    <t xml:space="preserve">Состав: омыленная смесь кокосового, оливкового, пальмового, миндального, касторового масел, отвар травы зверобоя, отвар коры дуба, природный глицерин, лимонная кислота, эфирное масло шалфея мускатного, эфирное масло чайного дерева, эфирное масло мирта, эфирное масло лавра, молотый лист дуба, токоферола ацетат (витамин Е), масло облепихи, эфирное масло иланг-иланг, эфирное масло пачули.
</t>
  </si>
  <si>
    <t xml:space="preserve">Способ применения: вспеньте мыло с водой. Нанесите на кожу круговыми массирующими движениями. Тщательно смойте тёплой водой.
Противопоказания: аллергические реакции на компоненты мыла.
</t>
  </si>
  <si>
    <t>https://disk.yandex.ru/d/is2Io5v9GEhzlw</t>
  </si>
  <si>
    <t>https://kleona.com/dlya-dusha-i-bani/myla-bannye-vysokopennye/mylo-bannoe-natural-noe-zveroboj/</t>
  </si>
  <si>
    <r>
      <t xml:space="preserve">"Кастильское" оливковое, 145 г  </t>
    </r>
    <r>
      <rPr>
        <b/>
        <sz val="10"/>
        <color rgb="FFFF0000"/>
        <rFont val="Arial"/>
        <family val="2"/>
        <charset val="204"/>
      </rPr>
      <t>НОВЫЙ ДИЗАЙН</t>
    </r>
  </si>
  <si>
    <t>https://disk.yandex.ru/i/hbmAIXV9DN1i5g</t>
  </si>
  <si>
    <t xml:space="preserve">"Лаванда" смягчающ., увлажняющее, 145 г  </t>
  </si>
  <si>
    <t>белый с вкраплениями цветов</t>
  </si>
  <si>
    <t>Натуральное высокопенное мыло с умиротворяющим ароматом  лавандовых полей. Нежная пена этого мыла деликатно очищает кожу и поры. Благодаря экстракту лаванды смягчает и успокаивает кожу, снимает раздражение и стрессовые пятна. Обогащенное эфирными маслами шалфея и эвкалипта обладает противовоспалительным и антисептическим действием. В дополнение эфирные масла оказывают благотворное влияние на дыхательную систему и улучшают настроение. Мыло подходит для любого типа кожи. Для ежедневного применения в качестве банного или туалетного мыла.</t>
  </si>
  <si>
    <t>омыленная смесь кокосового, оливкового, пальмового, миндального, касторового масел, вода, природный глицерин, масляный экстракт лаванды, молотая трава розмарина, лимонная кислота, эфирное масло лаванды, эфирное масло голубой ромашки, эфирное масло шалфея мускатного, эфирное масло эвкалипта, токоферола ацетат (витамин Е).</t>
  </si>
  <si>
    <t>Способ применения: вспеньте мыло с водой. Нанесите на кожу круговыми массирующими движениями. Тщательно смойте тёплой водой
Противопоказания: аллергические реакции на компоненты мыла.</t>
  </si>
  <si>
    <t>https://disk.yandex.ru/d/3E5C0GxGsvJGKQ</t>
  </si>
  <si>
    <t>https://kleona.com/dlya-dusha-i-bani/myla-bannye-vysokopennye/mylo-bannoe-natural-noe-lavanda/</t>
  </si>
  <si>
    <t>"Молочное" с цветочным медом и ванилью, 145 г</t>
  </si>
  <si>
    <t>сладкий ванильный</t>
  </si>
  <si>
    <t xml:space="preserve"> натуральное твердое мыло ручной работы, изготовленное на цельном молоке с добавлением пчелинного меда и экстрактов цветов липы и ванили. Это мыло подобно крему – гладкое, очень нежное, с густой пеной, по ощущениям на коже напоминает сливки. Пчелиный мед питает и смягчает кожу, устраняет сухость и шелушения. Экстракт липы успокаивает кожу, уменьшает раздражение. Мыло подходит для ухода за сухой и нормальной кожей. Для ежедневного применения в качестве банного или туалетного мыла.</t>
  </si>
  <si>
    <t>омыленная смесь кокосового, оливкового, пальмового, миндального, касторового масел, молоко цельное, природный глицерин, масло Ши, пчелиный мед, экстракт цветов липы, экстракт пчелиного меда, экстракт ванили, лимонная кислота, токоферола ацетат (витамин Е),</t>
  </si>
  <si>
    <t>https://disk.yandex.ru/d/-8GWRs0_vJcJHw</t>
  </si>
  <si>
    <t>https://kleona.com/dlya-dusha-i-bani/myla-bannye-vysokopennye/mylo-bannoe-natural-noe-molochnoe/</t>
  </si>
  <si>
    <r>
      <t xml:space="preserve">"Овсянка", 145 г   </t>
    </r>
    <r>
      <rPr>
        <b/>
        <sz val="10"/>
        <color rgb="FFFF0000"/>
        <rFont val="Arial"/>
        <family val="2"/>
        <charset val="204"/>
      </rPr>
      <t>НОВЫЙ ДИЗАЙН</t>
    </r>
  </si>
  <si>
    <t>https://disk.yandex.ru/i/p738V9_IDmXVZw</t>
  </si>
  <si>
    <t xml:space="preserve">"Одуванчик" ухаживающ., восстанавливающее, 145 г  </t>
  </si>
  <si>
    <t>Вобравшее пользу лечебных трав, натуральное высокопенное мыло «Одуванчик» дает неповторимо нежную пену с ароматом цветочного луга. Мыло бережно очищает, сохраняя естественную увлажненность кожи. Благодаря экстракту корня одуванчика снимает раздражение и оздоравливает кожу. Наполненное ценным маслом алтайской облепихи смягчает и ускоряет регенерацию кожи. Делает кожу нежной, освежает и придает чувство комфорта. Подходит для ежедневного применения в качестве банного или туалетного мыла.</t>
  </si>
  <si>
    <t>омыленная смесь кокосового, оливкового, пальмового, миндального, касторового масел, вода, природный глицерин, лимонная кислота, масло облепихи, экстракт корней одуванчика, эфирное масло иланг-иланг, эфирное масло пачули, эфирное масло сандала, токоферола ацетат (витамин Е).</t>
  </si>
  <si>
    <t>Способ применения: вспеньте мыло с водой. Нанесите на кожу круговыми массирующими движениями. Тщательно смойте тёплой водой.
Противопоказания: аллергические реакции на компоненты мыла.</t>
  </si>
  <si>
    <t>https://disk.yandex.ru/d/g7xlhlB7Gp54fQ</t>
  </si>
  <si>
    <t>https://kleona.com/dlya-dusha-i-bani/myla-bannye-vysokopennye/mylo-bannoe-natural-noe-oduvanchik/</t>
  </si>
  <si>
    <r>
      <t xml:space="preserve">"Турецкое" с маслом черного тмина, 145 г  </t>
    </r>
    <r>
      <rPr>
        <b/>
        <sz val="10"/>
        <color rgb="FFFF0000"/>
        <rFont val="Arial"/>
        <family val="2"/>
        <charset val="204"/>
      </rPr>
      <t xml:space="preserve"> НОВЫЙ ДИЗАЙН</t>
    </r>
  </si>
  <si>
    <t>https://disk.yandex.ru/i/YwuiKeQwjeU5yA</t>
  </si>
  <si>
    <r>
      <rPr>
        <b/>
        <sz val="10"/>
        <rFont val="Arial"/>
        <family val="2"/>
        <charset val="204"/>
      </rPr>
      <t xml:space="preserve">Мыло С ЛЮФОЙ   </t>
    </r>
    <r>
      <rPr>
        <b/>
        <sz val="10"/>
        <color indexed="10"/>
        <rFont val="Arial"/>
        <family val="2"/>
        <charset val="204"/>
      </rPr>
      <t xml:space="preserve"> </t>
    </r>
  </si>
  <si>
    <t>"Апельсин" мыло с люфой на веревке, 130 г</t>
  </si>
  <si>
    <t>130 г</t>
  </si>
  <si>
    <t>38*Ø81</t>
  </si>
  <si>
    <t>Прекрасно подходит для глубокого очищения
кожи и пор, обеспечивает пенный массаж. Отшелу-
шивает ороговевшие клетки, благодаря чему кожа
становится мягкой, нежной и бархатистой. Обога-
щенное эфирным маслом апельсина, известного
своим тонизирующим действием, мыло с люфой
делает кожу более упругой и помогает улучшить
её состояние в проблемных местах. Композиция ци-
трусовых эфирных масел заряжает солнечным на-
строением. Мыло на веревке удобно использовать
в душе или бане, а также брать с собой в путеше-
ствия. Экономично в использовании. Подходит для
всей семьи, особенно нравится детям. Для всех ти-
пов кожи. Люфа при первом использовании может
показаться жестковатой, но с каждым разом она
становится мягче.</t>
  </si>
  <si>
    <t>омыленная смесь кокосового, олив-
кового, пальмового, касторового масел, экс-
тракт апельсиновой цедры, эфирное масло
апельсина, масло миндальных косточек, масло
облепихи, лимонен, лимонная кислота, токофе-
рола ацетат (витамин Е).</t>
  </si>
  <si>
    <t xml:space="preserve">Применение: намочите мочалку горячей водой и круговыми движениями очистите кожу. После применения хранить мыло люфой вниз.
Люфа при первом использовании, может показаться жестковатой, но с каждым разом она становится мягче.
</t>
  </si>
  <si>
    <t>https://disk.yandex.ru/d/MKNuaj0Lz8cJJA</t>
  </si>
  <si>
    <t>https://kleona.com/dlya-dusha-i-bani/myla-bannye-s-lyufoj/mylo-bannoe-s-lyufoj-apel-sin/</t>
  </si>
  <si>
    <t>"Лаванда" мыло с люфой на веревке, 130 г</t>
  </si>
  <si>
    <t>Прекрасно подходит для глубокого очище-
ния кожи и пор, обеспечивает пенный массаж.
Люфа хорошо отшелушивает ороговевшие клет-
ки кожи, не нанося ей вреда. Благодаря этому
кожа становится мягкой, нежной и бархатистой.
Чувственный аромат лаванды помогает снять
напряжение и усталость, приводит в состояние
умиротворения и покоя, довершая процесс ку-
пания своеобразной ароматерапией. Мыло на
веревке удобно использовать в душе или бане, а
также брать с собой в путешествия. Экономично
в использовании. Подходит для всех типов кожи,
в том числе и для чувствительной.</t>
  </si>
  <si>
    <t>омыленная смесь кокосового, олив-
кового, пальмового, миндального, касторово-
го масел, вода, природный глицерин, масляный
экстракт лаванды, лимонная кислота, эфирное
масло лаванды, эфирное масло голубой ро-
машки, эфирное масло шалфея мускатного,
эфирное масло эвкалипта, токоферола ацетат
(витамин Е).</t>
  </si>
  <si>
    <t>https://disk.yandex.ru/d/7On1UbhRkR4jZg</t>
  </si>
  <si>
    <t>https://kleona.com/dlya-dusha-i-bani/myla-bannye-s-lyufoj/mylo-bannoe-s-lyufoj-lavanda/</t>
  </si>
  <si>
    <t>"Полынь" мыло с люфой на веревке, 130 г</t>
  </si>
  <si>
    <t>Мыло с люфой прекрасно очищает кожу и
поры, обеспечивает пенный массаж. Отшелу-
шивает ороговевшие клетки, благодаря чему
кожа становится мягкой, нежной и бархати-
стой. Отвар полыни освежает, оздоравливает
и дезодорирует кожу. Люфа эффективно уда-
ляет остатки антиперспиранта с кожи. Мыло на
веревке удобно использовать в душе и бане, а
также брать с собой в путешествия. Имеет эко-
номичный расход. Люфа при первом исполь-
зовании может показаться жестковатой, но с
каждым разом она становится мягче.</t>
  </si>
  <si>
    <t>омыленная смесь кокосового, паль-
мового, оливкового, миндального, касторо-
вого масел, отвар подорожника, отвар травы
полыни, природный глицерин, эфирное масло
сандала, эфирное масло полыни, эфирное мас-
ло шалфея мускатного, хлорофилл зеленых
водорослей (природный хлорофилл), эфирное
масло пачули, токоферола ацетат (витамин Е).</t>
  </si>
  <si>
    <t>https://disk.yandex.ru/d/MrIVYqbcKO4ODg</t>
  </si>
  <si>
    <t>https://kleona.com/dlya-dusha-i-bani/myla-bannye-s-lyufoj/mylo-bannoe-s-lyufoj-polyn/</t>
  </si>
  <si>
    <t>"Березовое" мыло с люфой, 135 г</t>
  </si>
  <si>
    <t>135 г</t>
  </si>
  <si>
    <t>зеленый</t>
  </si>
  <si>
    <t>52*Ø78</t>
  </si>
  <si>
    <t xml:space="preserve">Действие: прекрасно подходит для глубокого очищения кожи и пор, обеспечивает пенный массаж. Люфа хорошо отшелушивает ороговевшие клетки кожи, не нанося ей вреда. Благодаря этому кожа становится мягкой, нежной и бархатистой. Ароматы можжевельника и сосны помогают снять напряжение и усталость, восстанавливают жизненный тонус, довершая процесс купания своеобразной ароматерапией. Мыло с люфой удобно использовать в душе или бане. Экономично в применении. Подходит для всех типов кожи. 
Люфа при первом использовании может показаться жестковатой, но с каждым разом она становится мягче. 
</t>
  </si>
  <si>
    <t>Состав: омыленная смесь пальмоядрового, кокосового, оливкового, миндального, рапсового масел и масла какао, глицерин, родниковая вода, пальмовый олеин, пчелиный воск, лимонная кислота, отвар листьев и почек берёзы, молотый лист берёзы, эфирное масло можжевельника, эфирное масло лаванды, эфирное масло сосны, токоферола ацетат (витамин Е).</t>
  </si>
  <si>
    <t>https://disk.yandex.ru/d/L4_ODP_YAlMnLw</t>
  </si>
  <si>
    <t>https://kleona.com/dlya-dusha-i-bani/myla-bannye-s-lyufoj/mylo_bannoe_s_lyufoj_bereza/</t>
  </si>
  <si>
    <t>"Дубок" мыло с люфой, 135 г</t>
  </si>
  <si>
    <t xml:space="preserve">Действие: мыло с люфой прекрасно очищает кожу и поры, обеспечивает пенный массаж. Отшелушивает ороговевшие клетки, благодаря чему кожа становится мягкой, нежной и бархатистой. Отвар листьев и коры дуба тонизирует, оздоравливает и дезодорирует кожу. Масло чайного дерева обеспечивает бактерицидное, противовирусное и противогрибковое действие, а его аромат восстанавливает жизненные силы. Люфа эффективно удаляет остатки антиперспиранта с кожи. Мыло с люфой удобно использовать в душе или бане. Лучшее средство для людей занимающихся спортом. Экономично в применении. Люфа при первом использовании может показаться жестковатой, но с каждым разом она становится мягче. </t>
  </si>
  <si>
    <t>Состав: омыленная смесь оливкового, кокосового, касторового масел, масла миндальных косточек и масла авокадо, отвар коры дуба (Quercus cortex), отвар листьев дуба (Quercus foliis), молотый лист дуба, глицерин, лимонная кислота, витамин Е, эфирное масло чайного дерева, эфирное масло шалфея мускатного.</t>
  </si>
  <si>
    <t>https://disk.yandex.ru/d/BW2VXLw0VdV0rQ</t>
  </si>
  <si>
    <t>https://kleona.com/dlya-dusha-i-bani/myla-bannye-s-lyufoj/mylo_bannoe_s_lyufoj_dubok/</t>
  </si>
  <si>
    <t>"Овсянка" мыло с люфой, 135 г</t>
  </si>
  <si>
    <t>розово-оранжевый</t>
  </si>
  <si>
    <t>сладкий цитрусовый</t>
  </si>
  <si>
    <t xml:space="preserve">Действие: питательное мыло с маслом жожоба и протеинами овса нежно очищает кожу, не сушит и сохраняет гидролипидный слой. Натуральная люфа бережно отшелушивает ороговевшие клетки, благодаря чему кожа становится мягкой, нежной и бархатистой. Ароматы вербены и лимонной травы бодрят и улучшают настроение, довершая процесс купания своеобразной ароматерапией. Мыло с люфой удобно использовать в душе или бане. Экономично в применении. Подходит для всей семьи. Рекомендуется для всех типов кожи, в том числе для сухой и чувствительной. 
Люфа при первом использовании может показаться жестковатой, но с каждым разом она становится мягче.  
</t>
  </si>
  <si>
    <t>Состав: омыленная смесь оливкового, кокосового, касторового, пальмоядрового масел, масла манго и масла авокадо, экстракт календулы, протеины овса, лактат натрия, цитрат натрия, a-токоферола ацетат (витамин Е), гидролизованный молочный протеин, масло жожоба, эфирное масло вербены лимонной (Lippia citriodora), эфирное масло базилика (Ocimum basilicum), эфирное масло лимонной травы (Cymbopogon citrates).</t>
  </si>
  <si>
    <t>https://disk.yandex.ru/d/Xp8dee0LdkOCJQ</t>
  </si>
  <si>
    <t>https://kleona.com/dlya-dusha-i-bani/myla-bannye-s-lyufoj/mylo_bannoe_s_lyufoj_ofsjanka/</t>
  </si>
  <si>
    <r>
      <t xml:space="preserve">ГЕЛИ для душа  </t>
    </r>
    <r>
      <rPr>
        <b/>
        <sz val="10"/>
        <color indexed="10"/>
        <rFont val="Arial"/>
        <family val="2"/>
        <charset val="204"/>
      </rPr>
      <t xml:space="preserve">    </t>
    </r>
  </si>
  <si>
    <t>4627186343392</t>
  </si>
  <si>
    <t xml:space="preserve">Гель для душа "Дюшес", 250 мл  </t>
  </si>
  <si>
    <t>https://disk.yandex.ru/d/FT5xuKFyy-OlCw</t>
  </si>
  <si>
    <t>179*Ø49</t>
  </si>
  <si>
    <t>флакон ПЭТ 250 мл оливковый, прозрачный / 24/410 диск/топ черный глянцевый / колпачок ТУ прозрачный</t>
  </si>
  <si>
    <t>этикетка100*145  пленка</t>
  </si>
  <si>
    <t xml:space="preserve">Гель для душа "Кофе с марципаном" (пробуждающий), 250 мл  </t>
  </si>
  <si>
    <t>https://disk.yandex.ru/d/B9kE83J42A-oKw</t>
  </si>
  <si>
    <t>Пробуждающий аромат черного кофе, миндаля и пряностей обеспечит прилив сил и энергии, а вечером  окутает теплом и уютом, поможет снять усталость и напряжение. Натуральный гель на основе экстракта кофе. Отлично пенится, легко смывается, не оставляет скользкой пленки на коже. Не сушит и не вызывает ощущения стянутости. Натуральные добавки  увлажняют кожу, повышают тонус, делают ее мягкой и бархатистой.</t>
  </si>
  <si>
    <t xml:space="preserve">Состав: вода, мягкая моющая основа*, экстракт черного кофе, глицерилолеат, глицерин растительного происхождения, лактат натрия, цитрат натрия, свекольный бетаин, молочная кислота, бензиловый спирт, глицерилкаприлат, экстракт косточек миндаля, экстракт косточек абрикоса, экстракт корицы, экстракт ванили, экстракт гвоздики, экстракт перца душистого, экстракт тмина. 
*включает в себя: кокоглюкозид натрия, лаурилглюкозид натрия, децилглюкозид натрия, кокосульфат натрия, кокобетаин, цетеариловый спирт.
</t>
  </si>
  <si>
    <t xml:space="preserve">Способ применения: используйте привычным для вас способом. </t>
  </si>
  <si>
    <t>https://disk.yandex.ru/d/Br_8sT6w7Pa1xQ</t>
  </si>
  <si>
    <t>https://kleona.com/dlya-dusha-i-bani/geli-dlya-dusha/gel-dlya-dusha-kofe-s-marcipanom/</t>
  </si>
  <si>
    <t xml:space="preserve">Гель для душа "Лавандовый сон" (успокаивающий), 250 мл </t>
  </si>
  <si>
    <t>Успокаивающий аромат лаванды подарит ощущение гармонии и безмятежности, поможет снять стресс и напряжение в конце дня. Натуральный гель на основе гидролата лаванды с алоэ вера. Отлично пенится, легко смывается, не оставляет скользкой пленки на коже. Не сушит и не вызывает ощущения стянутости. Деликатно очищает и успокаивает особо чувствительную после принятия солнечных ванн кожу. Качественно смывает с тела солнцезащитные кремы c высоким содержанием SPF-фильтров. Натуральные добавки хорошо увлажняют кожу, повышают тонус, делают ее мягкой и бархатистой.</t>
  </si>
  <si>
    <t xml:space="preserve">Состав: вода, гидролат лаванды, мягкая моющая основа*, экстракт зеленого чая, глицерилолеат, глицерин растительного происхождения, лактат натрия, цитрат натрия, бензиловый спирт, глицерилкаприлат, D-пантенол (провитамин В5),  свекольный бетаин, экстракт алое вера, молочная кислота, эфирное масло лаванды, эфирное масло голубой ромашки, эфирное масло нероли, экстракт ванили, эфирное масло петитгрейна, аллантоин.
*включает в себя: кокоглюкозид натрия, лаурилглюкозид натрия, децилглюкозид натрия, кокосульфат натрия, кокобетаин, цетеариловый спирт.
</t>
  </si>
  <si>
    <t>https://disk.yandex.ru/d/a07LV9-fFlmqPw</t>
  </si>
  <si>
    <t>https://kleona.com/dlya-dusha-i-bani/geli-dlya-dusha/gel-dlya-dusha-lavandovyj-son/</t>
  </si>
  <si>
    <r>
      <rPr>
        <b/>
        <sz val="10"/>
        <color indexed="8"/>
        <rFont val="Arial"/>
        <family val="2"/>
        <charset val="204"/>
      </rPr>
      <t>Гель для душа "Сочный грейпфрут" (тонизирующий), 250 мл</t>
    </r>
    <r>
      <rPr>
        <b/>
        <sz val="8"/>
        <color indexed="10"/>
        <rFont val="Arial"/>
        <family val="2"/>
        <charset val="204"/>
      </rPr>
      <t xml:space="preserve"> </t>
    </r>
  </si>
  <si>
    <t>https://disk.yandex.ru/d/c1wXeHRjrzmpnQ</t>
  </si>
  <si>
    <t xml:space="preserve">Яркий, сочный цитрусовый аромат с легкой горчинкой, мгновенно зарядит вас энергией и хорошим настроением. Натуральный гель на основе экстракта грейпфрута  отлично пенится, легко смывается, не оставляет скользкой пленки на коже. Не сушит и не вызывает ощущения стянутости. Натуральные добавки увлажняют и освежают кожу, придают ей нежный аромат и приятные ощущения. </t>
  </si>
  <si>
    <t xml:space="preserve">Состав: вода, мягкая моющая основа*, глицерилолеат, глицерин растительного происхождения, свекольный бетаин, лецитин, экстракт грейпфрута, экстракт лимона, экстракт магнолии, бензиловый спирт, цитрат натрия, глицерилкаприлат, D-пантенол (провитамин В5), лимонная кислота, эфирное масло грейпфтура, эфирное масло лимона, эфирное масло розы, экстракт ванили. 
*включает в себя: кокоглюкозид натрия, лаурилглюкозид натрия, децилглюкозид натрия, кокосульфат натрия, кокоилглутамат натрия. 
</t>
  </si>
  <si>
    <t>https://disk.yandex.ru/d/BOMrphW_VZHwyg</t>
  </si>
  <si>
    <t>https://kleona.com/dlya-dusha-i-bani/geli-dlya-dusha/gel-dlya-dusha-sochnyj-grejpfrut/</t>
  </si>
  <si>
    <t xml:space="preserve">Гель для душа "Цветочный мармелад" (чувственный), 250 мл </t>
  </si>
  <si>
    <t>https://disk.yandex.ru/d/8oHx696SVk5Oyg</t>
  </si>
  <si>
    <t>Чувственный, упоительный  аромат цветов окрасит мир в яркие краски, подарит ощущение легкости, настроит на романтический лад. Натуральный гель на основе гидролата календулы и экстрактов цветов. Отлично пенится, легко смывается, не оставляет скользкой пленки на коже. Не сушит и не вызывает ощущения стянутости. Натуральные добавки великолепно увлажняют кожу, делают ее мягкой и бархатистой.</t>
  </si>
  <si>
    <t xml:space="preserve">Состав: вода, гидролат календулы, мягкая моющая основа*, экстракт шалфея, экстракт ромашки лекарственной, экстракт фиалки, экстракт ириса, экстракт одуванчика, глицерилолеат, глицерин растительного происхождения, лактат натрия, цитрат натрия, свекольный бетаин, молочная кислота, бензиловый спирт, глицерилкаприлат, эфирное масло иланг-иланг, экстракт ванили, лимонен, эфирное масло жасмина, эфирное масло нероли. 
*включает в себя: кокоглюкозид натрия, лаурилглюкозид натрия, децилглюкозид натрия, кокосульфат натрия, кокобетаин, цетеариловый спирт.
</t>
  </si>
  <si>
    <t>https://disk.yandex.ru/d/vkeF5SgMefdvUQ</t>
  </si>
  <si>
    <t>https://kleona.com/dlya-dusha-i-bani/geli-dlya-dusha/gel-dlya-dusha-cvetochnyj-marmelad/</t>
  </si>
  <si>
    <t xml:space="preserve">Гель-шампунь  "Грейпфрут", 200 мл  </t>
  </si>
  <si>
    <t>Бережно очищает волосы и кожу головы, делает волосы мягкими и послушными, придает_x0003_им блеск и ухоженный вид. Нежная пена хорошо очищает тело. Натуральные добавки прекрасно увлажняют и освежают кожу, придают ей мягкость и приятные тактильные ощущения. Легкое звучание древесно-цитрусового аромата заряжает энергией и хорошим настроением. Пригоден для частого использования. Подходит для любого типа кожи и волос.</t>
  </si>
  <si>
    <t>Состав: вода, мягкая моющая основа*, глицерил олеат, лимонная кислота, глицерин растительного происхождения, свекольный бетаин, лецинол, экстракт магнолии, экстракт лимона, экстракт мяты перечной, D-пантенол (провитамин В5), эфирное масло грейпфрута, эфирное масло апельсина, эфирное масло розы, экстракт ванили.
*включает в себя: кокоглюкозид, лаурилглюкозид, кокосульфат натрия, кокоилглутамат натрия_x0003_и кокамидопропилбетаин.</t>
  </si>
  <si>
    <t>Применение: используйте как гель или шампунь привычным для вас способом. Натуральный продукт: возможно помутнение или образование хлопьев, не меняющих свойства продукта. Перед применением встряхнуть.</t>
  </si>
  <si>
    <t>https://disk.yandex.ru/d/bJs82n2D98mr7g</t>
  </si>
  <si>
    <t>https://www.kleona.com/dlya-dusha-i-bani/geli-dlya-dusha1/gel-shampun-grejpfrutovyj/</t>
  </si>
  <si>
    <r>
      <t xml:space="preserve">Гель-шампунь "Ромовая баба", 200 мл  </t>
    </r>
    <r>
      <rPr>
        <b/>
        <sz val="10"/>
        <color indexed="10"/>
        <rFont val="Arial"/>
        <family val="2"/>
        <charset val="204"/>
      </rPr>
      <t xml:space="preserve"> </t>
    </r>
  </si>
  <si>
    <t>Бережно очищает волосы и кожу головы, делает волосы мягкими и послушными, придает им блеск и ухоженный вид. Нежная пена хорошо очищает тело.  Натуральные  добавки  прекрасно  увлаж-_x0003_няют  и  освежают  кожу,  придают  ей мягкость_x0003_и приятные тактильные ощущения.  Сладкий букет ароматов и длительное изысканное послевкусие наполнит теплотой и ощущением радости. Пригоден для частого использования. Подходит для любого типа кожи и волос.</t>
  </si>
  <si>
    <t>Состав: вода деионизированная,  мягкая «зеленая» моющая  основа*, лимонная кислота,  глицерин растительного происхождения, све-_x0003_кольный бетаин, экстракт коры дуба, экстракт изюма, экстракт пряностей (имбиря, корицы, гвоз-_x0003_дики, розмарина, ванили), бикарбонат натрия, экстракт жимолости японской, глицерил каприлат, экстракт алоэ вера, ментол, эфирное масло ин-_x0003_дийской мяты, эфирное масло пачули, аллантоин.
*включает в себя: кокосульфат натрия, кокоглюкозид, лаурилглюкозид, кокамидопропилбетаин.</t>
  </si>
  <si>
    <t>https://disk.yandex.ru/d/pAXfuaZSUuvejA</t>
  </si>
  <si>
    <t>https://www.kleona.com/dlya-dusha-i-bani/geli-dlya-dusha1/gel-shampun-romovaya-baba/</t>
  </si>
  <si>
    <r>
      <t xml:space="preserve">СКРАБЫ для тела   </t>
    </r>
    <r>
      <rPr>
        <b/>
        <sz val="10"/>
        <color indexed="10"/>
        <rFont val="Arial"/>
        <family val="2"/>
        <charset val="204"/>
      </rPr>
      <t xml:space="preserve">  </t>
    </r>
  </si>
  <si>
    <t>тара, размер (мм)</t>
  </si>
  <si>
    <t xml:space="preserve">тара </t>
  </si>
  <si>
    <t>упаковка</t>
  </si>
  <si>
    <t xml:space="preserve">Скраб кукурузный "Банный", 200 г       </t>
  </si>
  <si>
    <t>200 г</t>
  </si>
  <si>
    <t>42*90*90</t>
  </si>
  <si>
    <t>банка ПЭТ 150 мл, оливковая прозрачная, фольгированая вставка, крышка ПЭ темно коричневая 89*89</t>
  </si>
  <si>
    <t>80*80/60*60 Самоклейка пленка / бумага+матовая ламинация 80*80/60*60</t>
  </si>
  <si>
    <t xml:space="preserve">• интенсивно очищает кожу от ороговевших клеток;
• укрепляет иммунитет кожи, ускоряет заживление мелких повреждений и воспалительных процессов, стимулирует регенерацию клеток;
• увлажняет кожу, придает ей упругость, возвращает здоровый вид.
</t>
  </si>
  <si>
    <t>Состав: кукуруза дробленая, масло оливковое, масло кокосовое, масло рисовое, береза (лист), дуб (лист), зверобой (цветы, трава), крапива (трава), мята лимонная (трава), крахмал рисовый, масло миндальных косточек, децилглюкозид натрия, глицерилолеат, глицерин растительного происхождения, сорбитол, бензиловый спирт, экстракт хвои, триглицериды каприловой/каприновой кислот, сорбитанкаприлат, эфирное масло ели, эфирное масло пихты, эфирное масло лимона, эфирное масло эвкалипта, эфирное масло лаванды, комплекс полиненасыщенных жирных кислот (витамин F), токоферола ацетат (витамин Е).</t>
  </si>
  <si>
    <t>Способ применения: перемешайте скраб, нанесите на чистую влажную кожу массирующими движениями,  смойте водой. Используйте 1-2 раза в неделю.</t>
  </si>
  <si>
    <t>https://disk.yandex.ru/d/GYhvBFQjqro0gw</t>
  </si>
  <si>
    <t>https://kleona.com/dlya-dusha-i-bani/skraby1/skrab_bannyj/</t>
  </si>
  <si>
    <t xml:space="preserve">Скраб кукурузный "Липовый цвет", 200 г   </t>
  </si>
  <si>
    <t xml:space="preserve">• бережно очищает кожу от ороговевших клеток, делает ее гладкой и бархатистой;
• оказывает аквадренажный эффект, улучшает обмен веществ в клетках кожи, способствует выведению токсичных веществ и шлаков; 
• разглаживает и омолаживает кожу, повышает ее упругость и эластичность
</t>
  </si>
  <si>
    <t>Состав: кукуруза дробленая, масло оливковое, масло кокосовое, цветы липы, цветы жасмина, цветы ромашки, масло рисовых отрубей, масло миндальных косточек, крахмал рисовый, децилглюкозид натрия, глицерилолеат, глицерин растительного происхождения, сорбитол, бензиловый спирт, триглицериды каприловой/каприновой кислот, сорбитанкаприлат, эфирное масло розового дерева, эфирное масло нероли, комплекс полиненасыщенных жирных кислот (витамин F), токоферола ацетат (витамин Е).</t>
  </si>
  <si>
    <t>https://disk.yandex.ru/d/jnuWePLuFmVHpQ</t>
  </si>
  <si>
    <t>https://kleona.com/dlya-dusha-i-bani/skraby1/skrab_lipovyj/</t>
  </si>
  <si>
    <r>
      <t xml:space="preserve">Скраб кукурузный "Золотая облепиха", 200 г   </t>
    </r>
    <r>
      <rPr>
        <b/>
        <sz val="10"/>
        <color rgb="FFFF0000"/>
        <rFont val="Arial"/>
        <family val="2"/>
        <charset val="204"/>
      </rPr>
      <t xml:space="preserve"> </t>
    </r>
  </si>
  <si>
    <t xml:space="preserve">• бережно очищает кожу от ороговевших клеток;
• интенсивно питает ее биологически-активными маслами, улучшает клеточный энергетический обмен;
• увлажняет кожу, устраняет сухость и шелушение, восстанавливает ее упругость и эластичность;
• омолаживает кожу, улучшает цвет, оказывает Anti-age эффект.
</t>
  </si>
  <si>
    <t>Состав: кукуруза дробленая, масло оливковое, масло кокосовое, цветы календулы, масло облепиховое алтайского высокогорья, экстракт листьев черной смородины, экстракт цветов ромашки лекарственной, масло миндальных косточек, крахмал рисовый, децилглюкозид натрия, глицерилолеат, глицерин растительного происхождения, сорбитол, бензиловый спирт, триглицериды каприловой/каприновой кислот, сорбитанкаприлат, эфирное масло пальмарозы, эфирное масло апельсина, комплекс полиненасыщенных жирных кислот (витамин F), токоферола ацетат (витамин Е).</t>
  </si>
  <si>
    <t>https://disk.yandex.ru/d/sBNqDImllA64Wg</t>
  </si>
  <si>
    <t>https://kleona.com/dlya-dusha-i-bani/skraby1/skrab_oblepihovyj/</t>
  </si>
  <si>
    <t xml:space="preserve">Скраб сахарный "Бабл гам", 200 г   </t>
  </si>
  <si>
    <t xml:space="preserve">• бережно очищает кожу от ороговевших клеток, делает ее гладкой и бархатистой;
• оказывает легкое разогревающее действие, усиливает микроциркуляцию, ускоряет обмен веществ в клетках кожи;
• увлажняет, повышает упругость и эластичность кожи;
• выравнивает ее рельеф.
</t>
  </si>
  <si>
    <t>Состав: сахар, морская соль, вода, масло оливковое, масло кокосовое, масло карите,  глицерин растительного происхождения, масло миндальных косточек, масло касторовое, триглицериды каприловой/каприновой кислот, алкилглюкозиды натрия, экстракт грейпфрута, масло облепихи, эфирное масло грейпфрута, D-лимонен, бензиловый спирт, кофеин, сорбитанкаприлат, сквалан, глицерилолеат, лимонная кислота, эфирное масло апельсина, эфирное масло мандарина, эфирное масло розы, комплекс полиненасыщенных жирных кислот (витамин F), токоферола ацетат (витамин Е), янтарная кислота.</t>
  </si>
  <si>
    <t>https://disk.yandex.ru/d/adJpvD28YlxBtg</t>
  </si>
  <si>
    <t>https://kleona.com/dlya-dusha-i-bani/skraby1/skrab_grejpfrut/</t>
  </si>
  <si>
    <t xml:space="preserve">Скраб сахарный "Восточные пряности", 200 г   </t>
  </si>
  <si>
    <t xml:space="preserve">• бережно отшелушивает верхний эпителий кожи, улучшает кровообращение, стимулирует процесс обновления клеток; 
• эффективно увлажняет, смягчает кожу, придает ей мягкость и бархатистость;
• осветляет и выравнивает тон кожи;
• оказывает антиоксидантный эффект.
</t>
  </si>
  <si>
    <t>Состав: сахар, морская соль, вода, масло оливковое, масло кокосовое, масло карите, клюква (ягода), малина (ягода) брусника (ягода),  глицерин растительного происхождения, кожица винограда (экстракт), масло миндальных косточек, масло касторовое, триглицериды каприловой/каприновой кислот, алкилглюкозиды натрия, сквалан, глицерилолеат, бензиловый спирт, сорбитанкаприлат, лимонная кислота, пищевой ароматизатор "Клюква" (идентичный натуральному), экстракт ванили, комплекс полиненасыщенных жирных кислот (витамин F), токоферола ацетат (витамин Е).</t>
  </si>
  <si>
    <t>https://disk.yandex.ru/d/J0V9NHGs-RDvbg</t>
  </si>
  <si>
    <t>https://kleona.com/dlya-dusha-i-bani/skraby1/skrab_klyukvennyj/</t>
  </si>
  <si>
    <t xml:space="preserve">Скраб сахарный "Нежная лаванда", 200 г    </t>
  </si>
  <si>
    <t xml:space="preserve">Скраб сахарный "Сладкая карамель", 200 г  </t>
  </si>
  <si>
    <t xml:space="preserve">Скраб сахарный "Сочный грейпфрут", 200 г   </t>
  </si>
  <si>
    <t>ЕАЭС N RU Д-RU.РА10.В.13132/23</t>
  </si>
  <si>
    <t>https://disk.yandex.ru/i/E2IX9WcCsvnYXw</t>
  </si>
  <si>
    <t xml:space="preserve">Скраб сахарный "Спелая клюква", 200 г   </t>
  </si>
  <si>
    <t xml:space="preserve">Скраб сахарный "Тутти-фрутти", 200 г   </t>
  </si>
  <si>
    <t xml:space="preserve">• прекрасно очищает кожу от ороговевших клеток, делает ее гладкой и бархатистой;
• обладает легким разогревающим действием, усиливает микроциркуляцию, улучшает обменные процессы, оказывает anti-age эффект;
• питает и тонизирует кожу, повышает её упругость и эластичность;
• придает коже пряный восточный аромат
</t>
  </si>
  <si>
    <t>Состав: сахар, морская соль, вода, масло оливковое, масло кокосовое, масло карите,  глицерин растительного происхождения, масло миндальных косточек, масло касторовое, триглицериды каприловой/каприновой кислот, алкилглюкозиды натрия, сквалан, глицерилолеат, имбирь, корица, гвоздика, кардамон, эфирное масло апельсина, бензиловый спирт, сорбитанкаприлат, лимонная кислота, черный перец, эфирное масло мускатного ореха, эфирное масло индийской мяты, экстракт ванили, комплекс полиненасыщенных жирных кислот (витамин F), токоферола ацетат (витамин Е).</t>
  </si>
  <si>
    <t>https://disk.yandex.ru/d/4tvVmeOHVVaV5g</t>
  </si>
  <si>
    <t>https://kleona.com/dlya-dusha-i-bani/skraby1/skrab_pryanyj/</t>
  </si>
  <si>
    <t>БАТТЕРЫ (базовые масла), 100 мл</t>
  </si>
  <si>
    <t>Каритэ (ши) масло (butter), 100%,  рафин., 100 мл</t>
  </si>
  <si>
    <t>ЕАЭС N RU Д-RU.РА06.В.31472/23</t>
  </si>
  <si>
    <t>https://disk.yandex.ru/i/LpexN306Rj0hbg</t>
  </si>
  <si>
    <t>Масло каритэ (масло Ши) добывается из мякоти косточек плодов вечнозеленого дерева Vitellaria paradoxa, которое произрастает на обширных территориях Западной Африки. Английские исследователиокрестили это дерево - Ши (Shea), французские - Карите (Karite), из-за чего на международном рынке прижились оба названия. Само масло Ши представляет собой твердый жир от белого до кремового цвета с легким ореховым ароматом. Температура плавления масла Ши – порядка 35°С.
Замечательные свойства маслу Ши придают неомыляемые вещества, которых в масле Ши гораздо больше, чем в других твердых маслах (15-20% от веса масла). Именно благодаря неомыляемым веществам масло Ши быстро впитывается в кожу, оставляя приятное ощущение гладкости и мягкости. Именно неомыляемые вещества обладают свойствами УФ-фильтров, способных замедлить старение кожи даже в условиях африканской жары.
Опыт применения масла Ши в косметологии западноевропейских стран насчитывает десятки лет. Производителей косметики привлекают такие ценные свойства этого масла, как его способность эффективно смягчать кожу, ускорять обновление клеток, стимулировать синтез коллагена, улучшать структуру кожи, защищать кожу от воздействия солнца и других неблагоприятных внешних факторов, в т.ч. от ультрафиолетовых лучей. Масло Ши хорошо удерживает влагу в коже, а, будучи добавленным в состав шампуней и бальзамов, эффективно питает сухие и ломкие волосы, возвращает им эластичность и здоровый блеск</t>
  </si>
  <si>
    <t>100%-ное масло каритэ.
Страна-производитель: Германия
Обозначение INCI:  Butyrospermum Parkii.</t>
  </si>
  <si>
    <t>Противопоказания: индивидуальная непереносимость</t>
  </si>
  <si>
    <t>https://disk.yandex.ru/d/L4iqQ3Giq5TuZg</t>
  </si>
  <si>
    <t>https://kleona.com/spa/tverdye-rastitel-nye-masla-battery/maslo-karite-maslo-shi/</t>
  </si>
  <si>
    <t>Кокоса масло (butter), 100%,  рафин., 100 мл, флакон с дозатором</t>
  </si>
  <si>
    <t>https://disk.yandex.ru/i/GJCV4oinwMxhdQ</t>
  </si>
  <si>
    <t>Кокосовое масло – жирное растительное масло, получаемое горячим прессованием свежей высушенной мякоти кокосового ореха или, реже, методом холодного прессования высушенной копры. При комнатной температуре – светло-желтая пластичная масса со слабым характерным запахом. При температуре выше 25°С превращается в высокоподвижную жидкость.
Кокосовое масло очень быстро впитывается в кожу и мгновенно делает ее мягкой. Прекрасно смягчает, разглаживает сухую и огрубевшую кожу. Защищает кожу от мороза и обветривания, успокаивает ее после пребывания на солнце. Эффективно ухаживает за кожей головы: питает ее, способствует быстрому росту волос. Придает блеск и силу окрашенным волосам, делает волосы упругими, защищает их от хлорированной воды и УФ-лучей.</t>
  </si>
  <si>
    <t>100%-ное кокосовое масло
Страна-производитель - Индонезия
Обозначение INCI:  Cocos Nucifera Oil</t>
  </si>
  <si>
    <t>Кокосовое масло гипоаллергенно и практически не имеет противопоказаний. Так что ограничением к применению кокосового масла может быть только индивидуальная непереносимость масла.</t>
  </si>
  <si>
    <t>https://disk.yandex.ru/d/bkBCpW1xGmLf-w</t>
  </si>
  <si>
    <t>Кокоса масло (butter), 100%,  рафин., 100 мл, банка</t>
  </si>
  <si>
    <t>https://disk.yandex.ru/d/6wEnZkI8Lx_thA</t>
  </si>
  <si>
    <t>https://kleona.com/spa/tverdye-rastitel-nye-masla-battery/kokosovoe-maslo/</t>
  </si>
  <si>
    <t xml:space="preserve">БУРЛЯЩИЕ ШАРЫ для ванн </t>
  </si>
  <si>
    <t>Бурлящий шар "Апельсиновый рай", 140 г</t>
  </si>
  <si>
    <t>220 г</t>
  </si>
  <si>
    <t>ЕАЭС N RU Д-RU.НА38.В.02914/20</t>
  </si>
  <si>
    <t>https://disk.yandex.ru/d/AjupYMdJNIK8HA</t>
  </si>
  <si>
    <t>Этот бурлящий шарик для ванны до краев заполнит ванну задорной сочностью оранжевого аромата. Вы почувствуете победу над усталостью, раздражением, головной болью, а Ваша кожа станет гладкой, упругой, сияющей.</t>
  </si>
  <si>
    <t>бикарбонат натрия, лимонная кислота, морская соль, оливковое масло, кукурузный крахмал, сухое молоко, кокосульфат натрия,   эфирные масла сладкого апельсина, литцеи кубеба, красный перец, куркума, лепестки календулы, витамин Е.</t>
  </si>
  <si>
    <t>Способ применения: опустите шар в воду, дождитесь полного растворения, принимайте ванну 10-15 минут, после промокните тело специальным полотенцем.</t>
  </si>
  <si>
    <t>https://disk.yandex.ru/d/FYZV3It3-Irjag</t>
  </si>
  <si>
    <t>https://kleona.com/spa/burlyawie-shary/burlyawij-shar-apel-sinovyj-raj/</t>
  </si>
  <si>
    <t>Бурлящий шар "Индонезийская роза", 140 г</t>
  </si>
  <si>
    <t>Переплетение волнующих ароматов грейпфрута, шалфея, нероли перенесёт вас в благоухающий сад. Страстный соблазнительный букет будет прекрасным дополнением для романтического вечера. После принятия ванн, ваша кожа станет бархатной, как лепестки индонезийской розы.</t>
  </si>
  <si>
    <t>бикарбонат натрия, лимонная кислота, морская соль, оливковое масло, кукурузный крахмал, сухое молоко, кокосульфат натрия, молотый красный перец, эфирные масла грейпфрута, шалфея, нероли, лепестки розы, витамин Е.</t>
  </si>
  <si>
    <t>https://disk.yandex.ru/d/PDkXQ8lGANb__w</t>
  </si>
  <si>
    <t>https://kleona.com/spa/burlyawie-shary/burlyawij-shar-indonezijskaya-roza/</t>
  </si>
  <si>
    <t>Бурлящий шар "Лавандовый цвет", 140 г</t>
  </si>
  <si>
    <t>Этот бурлящий шарик с легким пьянящим ароматом цветущей лаванды позволит Вам расслабиться и окутает облаком безмятежной гармонии. Снимет чувство усталости, избавит от головной боли, раздражения, нормализует сон. Миндальное масло со сливками сделают Вашу кожу мягкой и шелковистой.</t>
  </si>
  <si>
    <t>бикарбонат натрия, лимонная кислота, морская соль, сухие сливки, масло миндальное, кокосульфат натрия, эфирные масла лаванды, лимона, шалфея мускатного, жасмина, цветки лаванды, витамин Е.</t>
  </si>
  <si>
    <t>https://disk.yandex.ru/d/QBVkl_0x2BzyjA</t>
  </si>
  <si>
    <t>https://kleona.com/spa/burlyawie-shary/burlyawij-shar-lavandovyj-cvet/</t>
  </si>
  <si>
    <t>Бурлящий шар "Лимонный зефир", 140 г</t>
  </si>
  <si>
    <t>Окунувшись в яркий танец искрящихся лимонных пузырьков и  молочных сливок, вам захочется влиться в этот поток бурлящей энергии, который придаст тонус всему организму. А масло жожоба подарит телу уход элитного SPA-салона. После ванны Вы будете очарованы мягкостью и упругостью кожи.</t>
  </si>
  <si>
    <t>бикарбонат натрия, лимонная кислота, морская соль, кукурузный крахмал, сухие сливки, кокосульфат натрия, куркума, масло Жожоба, эфирные масла лимона и нероли, витамин Е.</t>
  </si>
  <si>
    <t>https://kleona.com/spa/burlyawie-shary/burlyawij-shar-limonnyj-zefir/</t>
  </si>
  <si>
    <t>Бурлящий шар "Мандарин с корицей", 140 г</t>
  </si>
  <si>
    <t>Искрящиеся игристые цитрусовые пузырьки с корицей поднимут настроение и откроют сердце для радости. В благоуханном танце мандарина и корицы Вы освободитесь от апатии, почувствуете прилив энергии, уверенность в себе.</t>
  </si>
  <si>
    <t xml:space="preserve"> бикарбонат натрия, лимонная кислота, морская соль, оливковое масло, кукурузный крахмал, сухое молоко, кокосульфат натрия, эфирные масла сладкого апельсина, мандарина, корицы, коричный порошок, красный перец, витамин Е.</t>
  </si>
  <si>
    <t>https://disk.yandex.ru/d/5Xta3L3USUF5dw</t>
  </si>
  <si>
    <t>https://kleona.com/spa/burlyawie-shary/burlyawij-shar-mandarin-s-koricej/</t>
  </si>
  <si>
    <t>Бурлящий шар "Травяной венок", 140 г</t>
  </si>
  <si>
    <t>Этот бурлящий шар наполнит воду воздушными пузырьками, цветочными лепестками и запахом трав. Окунувшись в пряный аромат цветущего луга, Вы почувствуете прилив энергии, а Ваша кожа – благотворное увлажнение.</t>
  </si>
  <si>
    <t>бикарбонат натрия, лимонная кислота, морская соль, оливковое масло, кукурузный крахмал, сухое молоко, кокосульфат натрия, эфирные масла лаванды, розмарина, лимона, базилика, мускатного шалфея, листья и лепестки цветов, витамин Е.</t>
  </si>
  <si>
    <t>https://disk.yandex.ru/d/_qfTFa8X32EKNw</t>
  </si>
  <si>
    <t>https://kleona.com/spa/burlyawie-shary/burlyawij-shar-travyanoj-venok/</t>
  </si>
  <si>
    <t>Бурлящий шар "Шоколадный", 140 г</t>
  </si>
  <si>
    <t>Погрузитесь в ванну, наполненную ароматом сладкого шоколада. Обогащенный натуральным какао шарик, растворившись в воде, нежно окутает вас легкой сливочной пеной и  поможет забыть о заботах уходящего дня. Ваша кожа насладится питанием и надолго оставит манящий шлейф горячего шоколада.</t>
  </si>
  <si>
    <t>бикарбонат натрия, лимонная кислота, морская соль,  сухие сливки, масло какао, какао порошок, миндальное масло, эфирные масла жасмина, нероли, ароматическая композиция «капучино», витамин Е.</t>
  </si>
  <si>
    <t>https://disk.yandex.ru/d/YQpSgvNIRbfJjQ</t>
  </si>
  <si>
    <t>https://kleona.com/spa/burlyawie-shary/burlyawij-shar-shokoladnyj/</t>
  </si>
  <si>
    <t>СОЛИ для ванн</t>
  </si>
  <si>
    <r>
      <t xml:space="preserve">"Антистрессовая", 600 г </t>
    </r>
    <r>
      <rPr>
        <b/>
        <sz val="10"/>
        <color rgb="FFFF0000"/>
        <rFont val="Arial"/>
        <family val="2"/>
        <charset val="204"/>
      </rPr>
      <t xml:space="preserve">  БАНКА</t>
    </r>
  </si>
  <si>
    <t>600г</t>
  </si>
  <si>
    <t>ЕАЭС N RU Д-RU.НА38.В.02913/20</t>
  </si>
  <si>
    <t>https://disk.yandex.ru/d/NWO_itL6Z3v0zA</t>
  </si>
  <si>
    <t>192*111*62</t>
  </si>
  <si>
    <t>Соль «Антистрессовая» рекомендуется при усталости, бессоннице, в случае невротических и гормональных нарушений. Прекрасно восстанавливает силы. Входящие в состав соли натуральные эфирные масла лагоприятно воздействуют на
нервную систему человека. С давних времен
эфирное масло герани использовалось как
прекрасное успокоительное средство, помо-
гающее уравновесить не только нервную си-
стему, но и способствующее продлению моло-
дости. Благодаря этому соль «Антистрессовая»
выравнивает эмоциональный фон, успокаива-
ет и уменьшает раздражительность, нормали-
зует сон. Эфирное масло лаванды приносит
спокойствие и ясность, а эфирное масло бер-
гамота помогает при депрессии, повышенной
возбудимости и состояниях страха. Помимо
этого соль хорошо очищает и питает кожу,
улучшает микроциркуляцию, снимает раздра-
жение и шелушение. Кожа становится подтя-
нутой и упругой. Рекомендуется для ухода за
кожей любого типа.</t>
  </si>
  <si>
    <t>самосадочная соль озера Баскунчак, сода пищевая, миндальное масло, эфирное масло ромашки голубой, эфирное масло герани, эфирное масло лаванды, эфирное масло бергамота, витамин Е.</t>
  </si>
  <si>
    <t>https://disk.yandex.ru/d/J0H7mtEPbEVg4w</t>
  </si>
  <si>
    <r>
      <t xml:space="preserve">"Лавандовый сон", 600  г  </t>
    </r>
    <r>
      <rPr>
        <b/>
        <sz val="10"/>
        <color rgb="FFFF0000"/>
        <rFont val="Arial"/>
        <family val="2"/>
        <charset val="204"/>
      </rPr>
      <t xml:space="preserve"> БАНКА</t>
    </r>
  </si>
  <si>
    <t>ЕАЭС N RU Д-RU.РА06.В.57828/23</t>
  </si>
  <si>
    <t>https://disk.yandex.ru/i/Tv7fXi3h1eZFzA</t>
  </si>
  <si>
    <t>Ванные процедуры с
солью на основе цели-
тельной и расслабляю-
щей лаванды - это залог
хорошего самочувствия,
крепкого и здорового сна.
Успокаивающий аромат душистой лаванды
снимет усталость и нервное напряжение, из-
бавит от бессонницы. Целебные свойства мор-
ской соли с лавандой способствуют бережно-
му очищению организма от токсинов, шлаков и
вредных веществ.
Входящее в состав соли эфирные масла
лаванды и шалфея благотворно влияют на
нервную систему, помогают справиться с го-
ловной болью и накопившейся усталостью.
Косметическое воздействие: Соляная ванна
благоприятно воздействует на кожу, оказы-
вает легкое бактерицидное и укрепляющее
действие. Успокаивает чувствительную кожу,
снимает гиперемию, раздражение и шелуше-
ние. Стимулирует регенерацию и омоложение
клеток. Как общеукрепляющая оптимизирует
гемодинамику и микроциркуляцию.
Принимая ванны с лавандой, вы сможете бы-
стро восстанавливать силы и восполнить необ-
ходимый запас жизненной энергии.</t>
  </si>
  <si>
    <t>самосадочная соль озера Баскун-
чак, эфирное масло лаванды, эфирное масло
шалфея, эфирное масло лимона, ваниль, моло-
тые ягоды брусники, цветы лаванды.</t>
  </si>
  <si>
    <t>https://disk.yandex.ru/d/L0z27IbhF4M99A</t>
  </si>
  <si>
    <r>
      <t xml:space="preserve">"Омолаживающая-детокс", 600 г   </t>
    </r>
    <r>
      <rPr>
        <b/>
        <sz val="10"/>
        <color rgb="FFFF0000"/>
        <rFont val="Arial"/>
        <family val="2"/>
        <charset val="204"/>
      </rPr>
      <t>БАНКА</t>
    </r>
  </si>
  <si>
    <t>Процесс детоксикации
осуществляется через
кожу. Принцип воздействия
соляной ванны основан на
двух взаимодополняющих
процессах: выведение из-
быточной жидкости из тканей вместе с токси-
нами и вредными продуктами обмена веществ
и насыщения клеток кожи полезными мине-
ральными соединениями.
Соль оказывает выраженное антиокси-
дантное действие, глубоко очищает кожу от
токсичных веществ и шлаков, способствует
повышению упругости и эластичности кожи,
нормализует обменные процессы и предотвра-
щает преждевременное старение.
Входящие в состав соли бессмертник и
шалфей считаются одними из наиболее дей-
ственных средств омоложения, обладают за-
щитными свойствами и являются ловушкой
для свободных радикалов, что тормозит бы-
строе увядание кожи. Природный минерал
бишофит, ромашка и тысячелистник устраняют
воспалительные процессы на коже, обладают
регенирирующим и заживляющим действием,
а миндальное масло является хорошим пита-
тельным компонентом, который смягчает кожу
и улучшает ее состояние.</t>
  </si>
  <si>
    <t>самосадочная соль озера Баскун-
чак, бишофит, сода пищевая, масло миндаль-
ное, бессмертник, ромашка, шалфей, тысяче-
листник, витамин Е.</t>
  </si>
  <si>
    <t>https://disk.yandex.ru/d/6H-gZkzOVf2Q3A</t>
  </si>
  <si>
    <r>
      <t xml:space="preserve">"Соль озера Баскунчак" без добавок, 600 г  </t>
    </r>
    <r>
      <rPr>
        <b/>
        <sz val="10"/>
        <color rgb="FFFF0000"/>
        <rFont val="Arial"/>
        <family val="2"/>
        <charset val="204"/>
      </rPr>
      <t xml:space="preserve"> БАНКА</t>
    </r>
  </si>
  <si>
    <t>Озеро Баскунчак - уни-
кальное творение приро-
ды, своеобразное углубле-
ние на вершине огромной
соляной горы. Это самое
большое и самое солёное из всех известных
соляных озёр мира. Озеро Баскунчак когда-то
составляло часть огромного древнего моря,
в которое входили современные Аральское,
Черное и Азовское моря.
Соль озера Баскунчак обладает уникальным
составом, богатым жизненно-важными микроэ-
лементами и по своим свойствам превосходит
соли, добываемые из шахт. Основным её ком-
понентом является соль древних Хазарского
и Хвалынского морей, кристаллы которой со-
хранили внутри себя комплекс полезных ми-
нералов и органики. Именно эти компоненты
обуславливают характерный цвет соли и её
благоприятное воздействие на организм.
Эту соль часто называют “живой” - благода-
ря особому способу добычи кристаллы соли не
подвергаются химическому и температурному
воздействию, а, следовательно, они не разру-
шаются, не повреждается внутрикристалличе-
ская решетка и в соли сохраняются все макро-
и микроэлементы</t>
  </si>
  <si>
    <t>самосадочная соль озера Баскун-
чак, образовавшегося на месте древних Хва-
лынского и Хазарского морей.</t>
  </si>
  <si>
    <t>https://disk.yandex.ru/d/QhI_oOlbNRGveA</t>
  </si>
  <si>
    <t xml:space="preserve">Эфирные масла и  композиции    </t>
  </si>
  <si>
    <t>Эф. композиция "Антиинсект" 10 мл</t>
  </si>
  <si>
    <t>80*31*31</t>
  </si>
  <si>
    <t>https://disk.yandex.ru/d/PHDHv9fSrQdKWg</t>
  </si>
  <si>
    <t>Эф. композиция "Антицеллюлит" 10 мл</t>
  </si>
  <si>
    <t>https://disk.yandex.ru/d/cCXX63MGMuVhXA</t>
  </si>
  <si>
    <t>Эф. композиция "Для бани (сауны)" 10 мл</t>
  </si>
  <si>
    <t>Ароматерапия присутство-_x0003_вала в банной культуре всегда: деревянные стены_x0003_и полки под воздействием жара источали запах дере-_x0003_ва. Аромат дубовых и бере-_x0003_зовых веников, вдыхаемый с влажным паром очищал лёгкие, обеззараживал воз-_x0003_дух, расслаблял и умирот-_x0003_ворял. Использование эфирных масел обогащает оздоровительные возмож-_x0003_ности банного ритуала, оказывая благотворное те-_x0003_рапевтическое воздействие на все системы организма, приводя в гармонию физи-_x0003_ческое и эмоциональное состояние.
Дух парной – дух святой...</t>
  </si>
  <si>
    <t>Состав: смесь 100% эфир-_x0003_ных масел лаванды, лимона, мяты, пихты, эвкалипта.</t>
  </si>
  <si>
    <t>Перед использованием вни-_x0003_мательно изучите информа-_x0003_цию на вкладыше. Индиви-_x0003_дуально протестируйте. Не используйте в чистом виде.</t>
  </si>
  <si>
    <t>https://disk.yandex.ru/d/ZgBA9A6D6yRaHg</t>
  </si>
  <si>
    <t>Эф. композиция "Для повышения иммунитета" 10 мл</t>
  </si>
  <si>
    <t>Эфирные масла – удиви-_x0003_тельные природные эссен-_x0003_ции, несущие в себе уни-_x0003_кальное соединение разных целебных качеств. Многие из них обладают противо-_x0003_вирусной и антибактериаль-_x0003_ной активностью, что в сово-_x0003_купности с иммуномодули-_x0003_рующими и противовоспа-_x0003_лительными свойствами де-_x0003_лает эфирные масла эф-_x0003_фективным средством для укрепления защитных сил организма и профилактики инфекционных заболева-_x0003_ний. В комплексе с тради-_x0003_ционной терапией арома-_x0003_терапия усиливает дейст-_x0003_вие лекарств при лечении заболеваний. Эфирная ком-_x0003_позиция для повышения иммунитета укрепит ваш организм в холодное времч года и защитит от болезней.</t>
  </si>
  <si>
    <t>Состав: смесь 100% эфир-_x0003_ных масел голубой ромашки, имбиря, чайного дерева, нероли.</t>
  </si>
  <si>
    <t>https://disk.yandex.ru/d/jPak0QGGnAy3QQ</t>
  </si>
  <si>
    <t>Эф. композиция "Женское здоровье" 10 мл</t>
  </si>
  <si>
    <t>https://disk.yandex.ru/d/EvLY_QD5KIUfng</t>
  </si>
  <si>
    <t>Эф. композиция "Легкость ног" 10 мл</t>
  </si>
  <si>
    <t>https://disk.yandex.ru/d/2ZC1mwpJPB3dfA</t>
  </si>
  <si>
    <t>Эф. композиция "Мужская сила" 10 мл</t>
  </si>
  <si>
    <t>https://disk.yandex.ru/d/DaqfVPblu0H9DA</t>
  </si>
  <si>
    <t>Эф. композиция "Нежная любовь" 10 мл</t>
  </si>
  <si>
    <t>https://disk.yandex.ru/d/dJp-aRIPkyQkEw</t>
  </si>
  <si>
    <r>
      <rPr>
        <b/>
        <sz val="10"/>
        <rFont val="Arial"/>
        <family val="2"/>
        <charset val="204"/>
      </rPr>
      <t xml:space="preserve">Эф. композиция "Против гриппа" 10 мл  </t>
    </r>
    <r>
      <rPr>
        <b/>
        <sz val="10"/>
        <color indexed="10"/>
        <rFont val="Arial"/>
        <family val="2"/>
        <charset val="204"/>
      </rPr>
      <t xml:space="preserve"> </t>
    </r>
  </si>
  <si>
    <t>Грипп и простуда выбивают нас из привычного жизнен-_x0003_ного уклада каждую осень_x0003_и зиму. Много сил тратит организм на выздоровле-_x0003_ние и восстановление, поэтому каждый из нас ста-_x0003_рается уберечь себя от ви-_x0003_русных инфекций любыми средствами. Есть доступ-_x0003_ный и эффективный способ укрепить иммунитет и за-_x0003_щитить себя от вирусов_x0003_не навредив здоровью час-_x0003_тым применением лекарств – это ароматерапия. Эфир-_x0003_ные масла в композиции «Против гриппа» могут защитить вас от вирусных и бактериальных инфекций.
Масла также рекомендо-_x0003_ваны при заложенности носа.</t>
  </si>
  <si>
    <t>Состав: смесь 100% эфир-_x0003_ных масел ели, сосны, чайно-_x0003_го дерева, эвкалипта; камфор-_x0003_ное масло.</t>
  </si>
  <si>
    <t>https://disk.yandex.ru/d/YkCS-WHmTt1bDQ</t>
  </si>
  <si>
    <t>Эф. композиция "Релакс" 10 мл</t>
  </si>
  <si>
    <t>https://disk.yandex.ru/d/4kB5FAs1nSRwsQ</t>
  </si>
  <si>
    <t>Эф. композиция "Укрепление ногтей и кутикул" 10 мл</t>
  </si>
  <si>
    <t>https://disk.yandex.ru/d/EDELVKtOh0h1JQ</t>
  </si>
  <si>
    <t xml:space="preserve">МАССАЖНЫЕ МАСЛА     </t>
  </si>
  <si>
    <r>
      <t xml:space="preserve">Массажное масло для лица, 15 мл        </t>
    </r>
    <r>
      <rPr>
        <b/>
        <sz val="10"/>
        <color indexed="10"/>
        <rFont val="Arial"/>
        <family val="2"/>
        <charset val="204"/>
      </rPr>
      <t xml:space="preserve">    </t>
    </r>
  </si>
  <si>
    <t>ЕАЭС N RU Д-RU.РА06.В.31463/23</t>
  </si>
  <si>
    <t>https://disk.yandex.ru/d/XV3eyvP5hoNmzw</t>
  </si>
  <si>
    <t xml:space="preserve">обеспечивает лёгкое и дли- тельное скольжение;
оказывает интенсивное уха- живающее воздействие на кожу: длительно удерживает влагу, смягчает, улучшает тонус кожи, разглаживает мелкие морщинки, делает кожу свежей и подтянутой, насыщает её антиоксидантами;
некомедогенно;
экономично при использовании;  
отличная база для приго- товления аромамасел.  </t>
  </si>
  <si>
    <t>Состав: масло рисовых отрубей,  масло виноградной косточки, масло оливковое, масляный экстракт зелёного чая, масло зародышей пшеницы, масло макадамии, витамин Е.</t>
  </si>
  <si>
    <t>https://disk.yandex.ru/d/s6cTAL3FQgs6pg</t>
  </si>
  <si>
    <r>
      <t xml:space="preserve">Массажное масло для лица, 60 мл        </t>
    </r>
    <r>
      <rPr>
        <b/>
        <sz val="10"/>
        <color indexed="10"/>
        <rFont val="Arial"/>
        <family val="2"/>
        <charset val="204"/>
      </rPr>
      <t xml:space="preserve">    </t>
    </r>
  </si>
  <si>
    <t>• ОБЕСПЕЧИВАЕТ ДЛИТЕЛЬНОЕ БЕЗУПРЕЧНОЕ СКОЛЬЖЕНИЕ  
• УХАЖИВАЕТ ЗА КОЖЕЙ ЛИЦА
• ЛЕГКО УДАЛЯЕТСЯ ПОСЛЕ</t>
  </si>
  <si>
    <t>Состав: масло рисовых отрубей,  масло виноградной косточки, масло оливковое, масляный экстракт зеленого чая, масло зародышей пшеницы, масло макадамии, витамин Е.</t>
  </si>
  <si>
    <t xml:space="preserve">Применения: для наружного применения, рекомендовано нано- сить на чистую увлажненную кожу. </t>
  </si>
  <si>
    <t>https://disk.yandex.ru/d/fWP34iFaAIuOSQ</t>
  </si>
  <si>
    <r>
      <rPr>
        <b/>
        <sz val="10"/>
        <rFont val="Arial"/>
        <family val="2"/>
        <charset val="204"/>
      </rPr>
      <t xml:space="preserve">Массажное масло для лица, 200 мл           </t>
    </r>
    <r>
      <rPr>
        <b/>
        <sz val="10"/>
        <color indexed="10"/>
        <rFont val="Arial"/>
        <family val="2"/>
        <charset val="204"/>
      </rPr>
      <t xml:space="preserve"> </t>
    </r>
  </si>
  <si>
    <t>https://disk.yandex.ru/d/46hw3K-pRineGQ</t>
  </si>
  <si>
    <t xml:space="preserve">Массажное масло для тела, 15 мл   </t>
  </si>
  <si>
    <t>ЕАЭС N RU Д-RU.НА38.В.02982/20</t>
  </si>
  <si>
    <t>https://disk.yandex.ru/d/7Zls9e-vSJ48VA</t>
  </si>
  <si>
    <t>https://disk.yandex.ru/d/dK1_HPKDzIyGVg</t>
  </si>
  <si>
    <r>
      <t xml:space="preserve">Массажное масло для тела, 150 мл           </t>
    </r>
    <r>
      <rPr>
        <b/>
        <sz val="10"/>
        <color indexed="10"/>
        <rFont val="Arial"/>
        <family val="2"/>
        <charset val="204"/>
      </rPr>
      <t xml:space="preserve"> </t>
    </r>
  </si>
  <si>
    <t>обеспечивает легкое и длительное скольжение;
экономично при использовании;
легко удаляется с кожи, не оставляет следов на одежде;
не замутняет воду в емкости для разогрева камней (стоунтерапия);  
оказывает выраженное ухаживающее действие на кожу: хорошо смягчает, увлажняет; 
отличная база для приготовления аромамасел.</t>
  </si>
  <si>
    <t>Состав: масло оливковое, масло рисовых отрубей, масло соевое, масло миндальное, витамин Е.</t>
  </si>
  <si>
    <t>Способ применения: для наружного применения. Рекомендовано наносить на чистую увлажненную кожу.</t>
  </si>
  <si>
    <t>https://disk.yandex.ru/d/-8JWz7Sx-a-b_g</t>
  </si>
  <si>
    <t xml:space="preserve">Массажное масло для тела, 700 мл           </t>
  </si>
  <si>
    <t>700 мл</t>
  </si>
  <si>
    <t>185*Ø80</t>
  </si>
  <si>
    <t>https://disk.yandex.ru/d/7z64uIr1aYoM-w</t>
  </si>
  <si>
    <r>
      <t xml:space="preserve">Серия "FAMILY"  (для всей семьи) </t>
    </r>
    <r>
      <rPr>
        <b/>
        <sz val="11"/>
        <color indexed="10"/>
        <rFont val="Arial"/>
        <family val="2"/>
        <charset val="204"/>
      </rPr>
      <t xml:space="preserve">    </t>
    </r>
  </si>
  <si>
    <t>4627101829963</t>
  </si>
  <si>
    <t>FAMILY    жидкое мыло для рук, 300 мл</t>
  </si>
  <si>
    <t>300 мл</t>
  </si>
  <si>
    <t>ЕАЭС №RU Д-RU.РА03.В.82514/21</t>
  </si>
  <si>
    <t>https://disk.yandex.ru/d/r5mbyuNauJuklQ</t>
  </si>
  <si>
    <t>Это мыло эффективно очистит кожу от большинства видов загрязнений. Мягкая высокопенная моющая основа на базе «зеленых» ПАВ и слабокислый рН мыла сохранят естественное состояние кожи. Содержащиеся в мыле пребиотики будут способствовать быстрому восстановлению собственной микрофлоры рук. Мыло ускорит заживление царапин и микротравм на руках.</t>
  </si>
  <si>
    <t>Состав: вода деионизированная, додецилглюкозид, лаурилглюкозид, кокамидопропилбетаин, экстракт череды, экстракт ромашки аптечной, экстракт календулы, глицерин растительного происхождения, цетилсульфосукцинат динатриевая соль, молочная кислота, лактат натрия, экстракт овса, бензиловый спирт, глицерилкаприлат, инулин, лактоза, эфирное масло пальмарозы, эфирное масло лаванды, экстракт алоэ вера, эфирное масло розы.</t>
  </si>
  <si>
    <t>Применение: 1-2 клика нанесите на влажные руки. Растирайте мыльную пену в течение 15-20 секунд, затем тщательно смойте проточной водой.</t>
  </si>
  <si>
    <t>https://disk.yandex.ru/d/uhM0kYbx0FRjPA</t>
  </si>
  <si>
    <t>https://kleona.com/dlya-dusha-i-bani/myla-zhidkie/family-mylo-dlya-ruk/</t>
  </si>
  <si>
    <t>4627186340933</t>
  </si>
  <si>
    <t>FAMILY    защитный крем для рук (гидрофильный), 75 мл</t>
  </si>
  <si>
    <t>С этим кремом вы получите три нужных опции вместо одной: защиту, очищение и восстановление кожи рук. Ваши руки будут надежно защищены от загрязнения и неблагоприятного воздействия:
  при работе на дачном участке;
 при выполнении ремонта или строительстве (от пыли: цементной, гипсовой, стекловолоконной; лакокрасочных материалов и т.п.);
  при ремонте техники (от смазочных масел, густых смазок, графита, сажи и т.п.);
 в других ситуациях в быту и на производстве, когда возможно попадание на кожу вредных веществ и пыли.
Благодаря природным абразивам в составе крема (тальк, каолин) вы легко смоете загрязнения с рук. Питающие, увлажняющие и противовоспалительные компоненты крема быстро приведут кожу рук в нормальное состояние. Крем не содержит силиконов, синтетических красителей и отдушек. Подходит для частого применения.</t>
  </si>
  <si>
    <t>Состав: вода, каолин, тальк, цетеариловый спирт, масло кокосовое, масло пальмовое, масло клещевины, масло авокадо, экстракт календулы, экстракт ромашки лекарственной, экстракт тысячелистника, стеарат калия, олеат калия, глицерин растительного происхождения, смесь моно-диглицеридов природных жирных кислот, цетеариллглюкозиды на основе сахаров, полученных из пшеницы, цитрат калия, D-пантенол, глицерилстеарат, кокоилглутамат натрия, экстракт жимолости японской, сквалан, стеариновая кислота, бисаболол, витамин Е, гуаровая камедь, ксантовая камедь, аллантоин.</t>
  </si>
  <si>
    <t>Применение: наносите около 1 мл крема на сухие чистые руки перед началом работ и обновляйте после каждого мытья рук. Особое внимание уделяйте участкам вокруг ногтей, между пальцами, а также тыльной стороне рук. После окончания работ смойте крем теплой водой с мылом или другим моющим средством. Возраст: 14+</t>
  </si>
  <si>
    <t>https://disk.yandex.ru/d/fB2llGZ0D1Jb7A</t>
  </si>
  <si>
    <t>https://kleona.com/telo/kremy_dlya_ruk/zawitnyj-krem-dlya-ruk/</t>
  </si>
  <si>
    <t>4627101829956</t>
  </si>
  <si>
    <t>FAMILY    крем детский и для всей семьи,  35 г</t>
  </si>
  <si>
    <t>35 г</t>
  </si>
  <si>
    <t>BY.70.06.01.001.R.000430.02.23</t>
  </si>
  <si>
    <t>https://disk.yandex.ru/d/B_QfFG0r25mxkA</t>
  </si>
  <si>
    <t>124*37*37</t>
  </si>
  <si>
    <t>Действие: быстро восстановит нормальное состояние кожи при нехватке питания и увлажнения. Успокоит и смягчит кожу при опрелостях, потертостях, солнечных ожогах, обветривании, укусах насекомых и иных неблагоприятных воздействиях. Благодаря D-пантенолу, экстрактам зеленого чая, календулы и ромашки уменьшит воспаления, покраснения и зуд. Подойдет для профилактики пеленочного дерматита и для нанесения под подгузник.</t>
  </si>
  <si>
    <t>Состав: масло кокосовое, масло оливковое, масло клещевины, масло миндальных косточек, воск пчелиный отбеленный, вода деионизированная, D-пантенол, экстракт зеленого чая, экстракт календулы, экстракт ромашки лекарственной, полисахариды из морских водорослей, глицерилолеат цитрат, лецитин, глицерилолеат, бензиловый спирт, глицерилкаприлат, токоферола ацетат (витамин Е), экстракт алоэ вера.</t>
  </si>
  <si>
    <t>Способ применения: нанесите крем тонким слоем на чистую сухую кожу. Равномерно распределите мягкими поглаживающими движениями. Используйте по мере необходимости и только на тех участках кожи, которые требуют ухода.</t>
  </si>
  <si>
    <t>https://disk.yandex.ru/d/sscM890Etal95g</t>
  </si>
  <si>
    <t>https://kleona.com/telo/detskij-krem/detskij-krem-family/</t>
  </si>
  <si>
    <t>4627101829994</t>
  </si>
  <si>
    <t>FAMILY    мыло дорожное бактерицидное, 60 мл</t>
  </si>
  <si>
    <t>Это мыло станет предметом личной гигиены и вы получите гарантированно чистые руки и антибактериальную защиту в любой ситуации: в поездке на автомобиле, в поезде, в турпоходе, на пляже, пикнике, даче. Это мыло можно дать ребенку в школу, взять с собой на учебу, на работу и при посещении общественных заведений. Мягкая моющая основа на базе «зеленых» ПАВ максимально деликатно очистит кожу и удалит неприятные запахи, а экстракты и эфирные масла лекарственных растений избавят её от патогенной микрофлоры.</t>
  </si>
  <si>
    <t>Состав: вода, додецилглюкозид, лаурилглюкозид, кокамидопропилбетаин, экстракт чабреца, экстракт зверобоя, экстракт календулы, экстракт ромашки аптечной, кокосульфат натрия, молочная кислота, лактат натрия, бензиловый спирт, глицерилкаприлат, эфирное масло чабреца, эфирное масло чайного дерева, эфирное масло мяты перечной, эфирное масло эвкалипта, тимол.</t>
  </si>
  <si>
    <t>Применение: нанесите 1-2 мл мыла на влажную кожу рук, размыльте до появления пены и мойте руки еще 15-20 секунд, смойте проточной водой. Используйте по мере необходимости.</t>
  </si>
  <si>
    <t>https://disk.yandex.ru/d/NqopMsR1q9E1Qg</t>
  </si>
  <si>
    <t>https://kleona.com/dlya-dusha-i-bani/myla-zhidkie/mylo-dorozhnoe/</t>
  </si>
  <si>
    <t>4627186343873</t>
  </si>
  <si>
    <r>
      <t xml:space="preserve">FAMILY    натуральный спрей «STOPкомар», 100 мл    </t>
    </r>
    <r>
      <rPr>
        <b/>
        <sz val="10"/>
        <color rgb="FFFF0000"/>
        <rFont val="Arial"/>
        <family val="2"/>
        <charset val="204"/>
      </rPr>
      <t>НОВИНКА !!!!!</t>
    </r>
  </si>
  <si>
    <t>АНТИСЕПТИКИ</t>
  </si>
  <si>
    <t>4627101829703</t>
  </si>
  <si>
    <t xml:space="preserve">Антисептик для рук  БЕССПИРТОВОЙ (с феноксиэтанолом)  ГЕЛЬ, 60 мл  </t>
  </si>
  <si>
    <t>Гель предназначен для антисептической обработки кожи рук в ситуациях, когда нет возможности вымыть руки с мылом: после поездки в общественном транспорте, на прогулке, в путешествии и т.п., а также в случаях, когда использование спиртсодержащих гелей нежелательно в силу повышенной сухости кожи или реакции на спирт. Применение 2-феноксиэтанола, используемого в профессиональных кожных антисептиках, обеспечит надежную дезинфекцию ваших рук.</t>
  </si>
  <si>
    <t>Состав: вода деионизированная, глицерин растительного происхождения, 2-феноксиэтанол, масло авокадо, масло миндальных косточек, эфирное масло апельсина, глицерилкаприлат, эфир целлюлозы, экстракт алоэ вера.</t>
  </si>
  <si>
    <t xml:space="preserve">Способ применения: выдавить 1-2 мл геля и быстро разнести его по внутренней и наружной поверхности ладоней. Использовать по мере необходимости.  
Только для наружного применения. Не требует смывания водой. Остаточная липкость на руках сохраняется около 1 минуты. 
</t>
  </si>
  <si>
    <t>https://disk.yandex.ru/d/yeK9ThqNon6uuQ</t>
  </si>
  <si>
    <t>4627101829710</t>
  </si>
  <si>
    <t xml:space="preserve">Антисептик  НАТУРАЛЬНЫЙ (на основе эфирных масел)   ГЕЛЬ, 30 мл </t>
  </si>
  <si>
    <t>Натуральный гель предназначен для гигиенической обработки кожи рук в ситуациях, когда нет возможности вымыть руки с мылом: в путешествии, на прогулке или пикнике. Чайное дерево, зверобой, эвкалипт – природные антисептики, обладающие антимикробной активностью. Гель хорошо увлажняет и обеспечивает дополнительный уход, сохраняя мягкость кожи при частом применении.</t>
  </si>
  <si>
    <t>Состав: вода деионизированная, глицерин растительного происхождения, полиглицерил-6 каприлат, полиглицерил-4-капрат, масло авокадо, масло зверобоя, эфирное масло чайного дерева, эфирное масло розы, эфирное масло розового дерева, эфирное масло эвкалипта, глицерилкаприлат, эфир целлюлозы, экстракт алоэ вера.</t>
  </si>
  <si>
    <t xml:space="preserve">Способ применения: выдавить 1-2 мл геля и быстро разнести его по внутренней и наружной поверхности ладоней. Использовать по мере необходимости.  
Только для наружного применения. Не требует смывания водой. Остаточная липкость сохраняется на руках 1-2 минуты.  
</t>
  </si>
  <si>
    <t>https://disk.yandex.ru/d/r9awSeTw2TFvJg</t>
  </si>
  <si>
    <t>4627101829673</t>
  </si>
  <si>
    <t xml:space="preserve">Антисептик для рук  БЕССПИРТОВОЙ (с феноксиэтанолом)  ГЕЛЬ, 30 мл    </t>
  </si>
  <si>
    <t>https://disk.yandex.ru/d/HQ3cvZW1sZqVgg</t>
  </si>
  <si>
    <t>ТЕСТЕРЫ</t>
  </si>
  <si>
    <t>4627186340773</t>
  </si>
  <si>
    <t xml:space="preserve">ANTI-AGE № 3.3   cыворотка-филлер, 7 мл  </t>
  </si>
  <si>
    <t>7 мл</t>
  </si>
  <si>
    <t>см. полноразмерный продукт</t>
  </si>
  <si>
    <t xml:space="preserve">ОВСЯНКА   сыворотка, 7 мл    </t>
  </si>
  <si>
    <r>
      <rPr>
        <b/>
        <sz val="10"/>
        <rFont val="Arial"/>
        <family val="2"/>
        <charset val="204"/>
      </rPr>
      <t xml:space="preserve">ОБЛЕПИХА   сыворотка, 7 мл   </t>
    </r>
    <r>
      <rPr>
        <b/>
        <sz val="10"/>
        <color indexed="10"/>
        <rFont val="Arial"/>
        <family val="2"/>
        <charset val="204"/>
      </rPr>
      <t xml:space="preserve"> </t>
    </r>
  </si>
  <si>
    <t xml:space="preserve">РОЗА   сыворотка, 7 мл     </t>
  </si>
  <si>
    <t xml:space="preserve">ОВСЯНКА тоник для лица, 15 мл     </t>
  </si>
  <si>
    <t xml:space="preserve">ОБЛЕПИХА тоник для лица, 15 мл     </t>
  </si>
  <si>
    <t xml:space="preserve">РОЗА тоник для лица, 15 мл     </t>
  </si>
  <si>
    <r>
      <rPr>
        <b/>
        <sz val="10"/>
        <rFont val="Arial"/>
        <family val="2"/>
        <charset val="204"/>
      </rPr>
      <t xml:space="preserve">ПК №11  сыворотка с корой дуба, 7 мл  </t>
    </r>
    <r>
      <rPr>
        <b/>
        <sz val="10"/>
        <color indexed="10"/>
        <rFont val="Arial"/>
        <family val="2"/>
        <charset val="204"/>
      </rPr>
      <t xml:space="preserve"> </t>
    </r>
  </si>
  <si>
    <t xml:space="preserve">ПК №12  сыворотка с бетулином, 7 мл    </t>
  </si>
  <si>
    <t>БЕЛЫЙ РИС  сыворотка, 7 мл</t>
  </si>
  <si>
    <t xml:space="preserve">БЕЛЫЙ РИС  шампунь для волос, 50 мл </t>
  </si>
  <si>
    <t xml:space="preserve">Гель для душа "Кофе с марципаном", 30 мл   </t>
  </si>
  <si>
    <t xml:space="preserve">Гель для душа "Лавандовый сон", 30 мл   </t>
  </si>
  <si>
    <t xml:space="preserve">Гель для душа "Сочный грейпфрут", 30 мл   </t>
  </si>
  <si>
    <r>
      <rPr>
        <b/>
        <sz val="10"/>
        <color indexed="8"/>
        <rFont val="Arial"/>
        <family val="2"/>
        <charset val="204"/>
      </rPr>
      <t xml:space="preserve">Гель для душа "Цветочный мармелад", 30 мл  </t>
    </r>
    <r>
      <rPr>
        <b/>
        <sz val="10"/>
        <color indexed="10"/>
        <rFont val="Arial"/>
        <family val="2"/>
        <charset val="204"/>
      </rPr>
      <t xml:space="preserve"> </t>
    </r>
  </si>
  <si>
    <r>
      <rPr>
        <b/>
        <sz val="10"/>
        <color indexed="8"/>
        <rFont val="Arial"/>
        <family val="2"/>
        <charset val="204"/>
      </rPr>
      <t xml:space="preserve">Гидрофильное масло "FeminaОЛИВИЯ", </t>
    </r>
    <r>
      <rPr>
        <b/>
        <sz val="10"/>
        <rFont val="Arial"/>
        <family val="2"/>
        <charset val="204"/>
      </rPr>
      <t xml:space="preserve">30 мл   </t>
    </r>
  </si>
  <si>
    <t xml:space="preserve">Интимное мыло "FeminaОРГАНИКА", 30  мл  </t>
  </si>
  <si>
    <r>
      <rPr>
        <b/>
        <sz val="10"/>
        <rFont val="Arial Cyr"/>
        <charset val="204"/>
      </rPr>
      <t xml:space="preserve">Интимное мыло "FeminaФИТОЛИЯ", 30 мл        </t>
    </r>
    <r>
      <rPr>
        <b/>
        <sz val="10"/>
        <color indexed="10"/>
        <rFont val="Arial Cyr"/>
        <charset val="204"/>
      </rPr>
      <t xml:space="preserve"> </t>
    </r>
  </si>
  <si>
    <t xml:space="preserve">КРАПИВА  бальзам для волос, 50 мл    </t>
  </si>
  <si>
    <t xml:space="preserve">КРАПИВА  кондиционер для волос, 40 мл   </t>
  </si>
  <si>
    <t>40 мл</t>
  </si>
  <si>
    <t xml:space="preserve">КРАПИВА  маска для кожи головы, 40 мл   </t>
  </si>
  <si>
    <t xml:space="preserve">КРАПИВА  шампунь укрепляющий, 30 мл   </t>
  </si>
  <si>
    <r>
      <t xml:space="preserve">Шампунь BLOND, 30 мл  </t>
    </r>
    <r>
      <rPr>
        <b/>
        <sz val="10"/>
        <color rgb="FFFF0000"/>
        <rFont val="Arial Cyr"/>
        <charset val="204"/>
      </rPr>
      <t xml:space="preserve"> </t>
    </r>
  </si>
  <si>
    <t xml:space="preserve">Шампунь АИР, 30 мл     </t>
  </si>
  <si>
    <t xml:space="preserve">Шампунь ДУБОК, 30 мл     </t>
  </si>
  <si>
    <t xml:space="preserve">Шампунь ИМБИРЬ и ПИОН, 30 мл   </t>
  </si>
  <si>
    <t xml:space="preserve">Шампунь ЛАВАНДА, 30 мл  </t>
  </si>
  <si>
    <r>
      <t xml:space="preserve">Шампунь-кондиционер, 30 мл  </t>
    </r>
    <r>
      <rPr>
        <b/>
        <sz val="10"/>
        <color rgb="FFFF0000"/>
        <rFont val="Arial Cyr"/>
        <charset val="204"/>
      </rPr>
      <t xml:space="preserve"> </t>
    </r>
  </si>
  <si>
    <t xml:space="preserve">Кондиционер-маска BLOND, 40 мл    </t>
  </si>
  <si>
    <t xml:space="preserve">Кондиционер АЛТЕЙ и ЦИКОРИЙ, 40 мл    </t>
  </si>
  <si>
    <t xml:space="preserve">САШЕ   </t>
  </si>
  <si>
    <t>Крем № 0  с фитоцерамидами, базовый уход день/ночь, 5 мл</t>
  </si>
  <si>
    <t>5 мл</t>
  </si>
  <si>
    <t>ANTI-AGE   №3.1  крем для лица ДНЕВНОЙ, 2 мл</t>
  </si>
  <si>
    <t>ANTI-AGE   № 3.2  крем для лица НОЧНОЙ, 2 мл</t>
  </si>
  <si>
    <r>
      <t xml:space="preserve">ANTI-AGE  № 3.4   Крем омолаживающий для лица день-ночь с экстрактом икры, 2 мл </t>
    </r>
    <r>
      <rPr>
        <b/>
        <sz val="10"/>
        <color rgb="FFFF0000"/>
        <rFont val="Arial"/>
        <family val="2"/>
        <charset val="204"/>
      </rPr>
      <t xml:space="preserve"> НОВИНКА</t>
    </r>
  </si>
  <si>
    <r>
      <rPr>
        <b/>
        <sz val="10"/>
        <rFont val="Arial"/>
        <family val="2"/>
        <charset val="204"/>
      </rPr>
      <t xml:space="preserve">ANTI-AGE   № 2.1   крем-сыворотка с эффектом ботокса для кожи вокруг глаз, 2 мл  </t>
    </r>
    <r>
      <rPr>
        <b/>
        <sz val="10"/>
        <color indexed="10"/>
        <rFont val="Arial"/>
        <family val="2"/>
        <charset val="204"/>
      </rPr>
      <t xml:space="preserve"> </t>
    </r>
  </si>
  <si>
    <t>2 мл</t>
  </si>
  <si>
    <t>ANTI-AGE   № 2.2   крем для кожи вокруг глаз день-ночь, 2 мл</t>
  </si>
  <si>
    <t>ANTI-AGE   № 2.3   крем для кожи вокруг глаз с матриксилом, 2 мл</t>
  </si>
  <si>
    <r>
      <t xml:space="preserve">ANTI-AGE   № 2.4  Крем-миорелаксант с ядом конической улитки для кожи вокруг глаз, 2 мл  </t>
    </r>
    <r>
      <rPr>
        <b/>
        <sz val="10"/>
        <color rgb="FFFF0000"/>
        <rFont val="Arial"/>
        <family val="2"/>
        <charset val="204"/>
      </rPr>
      <t xml:space="preserve"> НОВИНКА</t>
    </r>
  </si>
  <si>
    <t xml:space="preserve">ANTI-AGE   № 4.1   крем для рук, 5 мл     </t>
  </si>
  <si>
    <t xml:space="preserve">ANTI-AGE   № 4.2  крем-суфле для тела, 2 мл   </t>
  </si>
  <si>
    <t>БЕЛЫЙ РИС  крем для лица ДНЕВНОЙ, 2 мл</t>
  </si>
  <si>
    <t>БЕЛЫЙ РИС  крем для лица и зоны декольте НОЧНОЙ, 2 мл</t>
  </si>
  <si>
    <t>БЕЛЫЙ РИС  крем для рук, 5 мл</t>
  </si>
  <si>
    <t>БЕЛЫЙ РИС  крем для кожи вокруг глаз, 2 мл</t>
  </si>
  <si>
    <t>ОВСЯНКА  крем для лица ДНЕВНОЙ, 2 мл</t>
  </si>
  <si>
    <t>ОВСЯНКА  крем лица НОЧНОЙ, 2 мл</t>
  </si>
  <si>
    <t xml:space="preserve">ОВСЯНКА  крем-флюид для кожи вокруг глаз,  2 мл </t>
  </si>
  <si>
    <t xml:space="preserve">ОВСЯНКА  крем для рук, 2 мл   </t>
  </si>
  <si>
    <t>ОВСЯНКА  молочко для снятия макияжа, 5 мл</t>
  </si>
  <si>
    <t>ОВСЯНКА  молочко для тела, 5 мл</t>
  </si>
  <si>
    <t>ОБЛЕПИХА  крем для кожи вокруг глаз, 2 мл</t>
  </si>
  <si>
    <t xml:space="preserve">ОБЛЕПИХА  крем для лица ДНЕВНОЙ, 5 мл   </t>
  </si>
  <si>
    <t>ОБЛЕПИХА  крем для лица НОЧНОЙ, 5 мл</t>
  </si>
  <si>
    <t>ОБЛЕПИХА  крем для рук, 2 мл</t>
  </si>
  <si>
    <t>РОЗА  крем для кожи вокруг глаз, 2 мл</t>
  </si>
  <si>
    <t>РОЗА  крем для лица день-ночь, 2 мл</t>
  </si>
  <si>
    <t xml:space="preserve">ПК №4    крем для лица День (увлажн., защита, мат. эфф.), 2 мл  </t>
  </si>
  <si>
    <t xml:space="preserve">ПК №5    крем для лица День/ночь (бактерицидный), 2 мл  </t>
  </si>
  <si>
    <t>ПК №6    крем для лица Ночь с фитостеринами, 2 мл</t>
  </si>
  <si>
    <t>ПК №7    крем для лица Ночь с салицилатами, 2 мл</t>
  </si>
  <si>
    <t xml:space="preserve">Бальзам после бритья с маслами календулы, зверобоя и голубой ромашки (успокаивающий), 5 мл    </t>
  </si>
  <si>
    <t xml:space="preserve">Бальзам после бритья с облепихой, календулой и маслом грейпфрута (восстанавливающий), 5 мл  </t>
  </si>
  <si>
    <t xml:space="preserve">Бальзам после бритья с хлорофиллом, ментолом и D-пантенолом (освежающий), 5 мл </t>
  </si>
  <si>
    <t xml:space="preserve">Бальзам после бритья с эхинацеей, гамамелисом и маслом чайного дерева (противовоспалительный), 5 мл   </t>
  </si>
  <si>
    <t>Мужской Характер крем для кожи вокруг глаз с матриксилом, 2 мл</t>
  </si>
  <si>
    <r>
      <t xml:space="preserve">БЛОНД  кондиционер-маска, 10 мл  </t>
    </r>
    <r>
      <rPr>
        <b/>
        <sz val="10"/>
        <color rgb="FFFF0000"/>
        <rFont val="Arial"/>
        <family val="2"/>
        <charset val="204"/>
      </rPr>
      <t xml:space="preserve"> </t>
    </r>
  </si>
  <si>
    <r>
      <rPr>
        <b/>
        <sz val="10"/>
        <rFont val="Arial"/>
        <family val="2"/>
        <charset val="204"/>
      </rPr>
      <t xml:space="preserve">КРАПИВА  бальзам для кожи головы и волос, 10 мл  </t>
    </r>
    <r>
      <rPr>
        <b/>
        <sz val="10"/>
        <color indexed="10"/>
        <rFont val="Arial"/>
        <family val="2"/>
        <charset val="204"/>
      </rPr>
      <t xml:space="preserve"> </t>
    </r>
  </si>
  <si>
    <t xml:space="preserve">КРАПИВА  кондиционер для волос, 10 мл  </t>
  </si>
  <si>
    <t xml:space="preserve">КРАПИВА  маска для роста волос, 10 мл   </t>
  </si>
  <si>
    <t xml:space="preserve">Кондиционер Цикорий и Алтей, 10 мл </t>
  </si>
  <si>
    <t xml:space="preserve">Маска для роста и против выпадения волос, 15 мл  </t>
  </si>
  <si>
    <t xml:space="preserve">Маска питательная для сухой кожи головы и волос, 15 мл </t>
  </si>
  <si>
    <t xml:space="preserve">Крем для ног  увлажняющий, питательный, 5 мл  </t>
  </si>
  <si>
    <t xml:space="preserve">Жирный крем  для ухода за диабетической стопой, 5 мл  </t>
  </si>
  <si>
    <t>Гель № 13 для проблемной кожи, 8 мл</t>
  </si>
  <si>
    <t xml:space="preserve">Гель для душа "Дюшес", 8 мл  </t>
  </si>
  <si>
    <t xml:space="preserve">Гель для душа "Кофе с марципаном", 8 мл     </t>
  </si>
  <si>
    <t xml:space="preserve">Гель для душа "Лавандовый сон", 8 мл   </t>
  </si>
  <si>
    <t>Гель для душа "Мужской характер" с индийской мятой, 8 мл</t>
  </si>
  <si>
    <t xml:space="preserve">Гель для душа "Сочный грейпфрут", 8 мл  </t>
  </si>
  <si>
    <t xml:space="preserve">Гель для душа "Цветочный мармелад", 8 мл   </t>
  </si>
  <si>
    <t xml:space="preserve">Шампунь "Мужской характер" с хвощом, 12 мл   </t>
  </si>
  <si>
    <t>МЫЛО натуральное в БРУСАХ цена за 1 кг</t>
  </si>
  <si>
    <t>Этикетки</t>
  </si>
  <si>
    <t>"Апельсиновое" (освежающее)</t>
  </si>
  <si>
    <t>1 кг</t>
  </si>
  <si>
    <t>"Дегтярный" (твердый шампунь для жирных волос)</t>
  </si>
  <si>
    <t>"Дрожжевое" (твердый шампунь для ломких волос)</t>
  </si>
  <si>
    <t>"Дубок" (твердый шампунь для жирных волос)</t>
  </si>
  <si>
    <t>"Крапива" (твердый шампунь против перхоти)</t>
  </si>
  <si>
    <t>"Можжевеловый" (тв. шампунь для укрепления корней)</t>
  </si>
  <si>
    <t>"Репейный" (тв. шампунь)</t>
  </si>
  <si>
    <t>"Розмарин" (тв. шампунь)</t>
  </si>
  <si>
    <r>
      <t xml:space="preserve">Серия  БЕЛАЯ УЛИТКА            </t>
    </r>
    <r>
      <rPr>
        <b/>
        <sz val="10"/>
        <color indexed="10"/>
        <rFont val="Arial"/>
        <family val="2"/>
        <charset val="204"/>
      </rPr>
      <t xml:space="preserve"> </t>
    </r>
  </si>
  <si>
    <t>Мыло для мытья фруктов и овощей, 100 г</t>
  </si>
  <si>
    <t xml:space="preserve">Это мыло – эффективное и безопасное, на 100% натуральное средство для мытья фруктов и овощей. 
● мыло хорошо очищает от загрязнений, мгновенно смывается водой и не требует длительного ополаскивания;
● рН пены 9,5 является губительным для большей части патогенной микрофлоры, что обеспечивает эффективное обеззараживание;
● глина в составе мыла эффективно удаляет с фруктов восковую пленку. 
Щелочной рН и наличие природной глины позволяет использовать данное мыло для очистки сильно загрязненной (пригоревшей) посуды. 
Мыло не содержит синтетических ПАВ, отдушек и красителей (гипоаллергенно), легко смывается водой, не оставляет налета и посторонних запахов.
</t>
  </si>
  <si>
    <t xml:space="preserve">Состав: омыленная смесь кокосового, пальмоядрового, пальмового масел, глина природного происхождения, стеариновая кислота растительного происхождения, вода, карбонат натрия, хлорид натрия.   </t>
  </si>
  <si>
    <t>Применение: намыльте губку мылом, вымойте продукты или посуду, остатки пены смойте теплой водой. Для эффективного очищения / обеззараживания мыльная пена должна оставаться на обрабатываемой поверхности не меньше 20-30 сек.</t>
  </si>
  <si>
    <t>https://disk.yandex.ru/d/UEnD_uFyWarlKg</t>
  </si>
  <si>
    <t>https://www.kleona.com/dlya-doma/myla-dlya-hozyajstvennyh-nuzhd/mylo-dlya-fruktov-i-ovowej/</t>
  </si>
  <si>
    <t>Мыло универсальное (для стирки, мытья посуды и пр.) , 145 г</t>
  </si>
  <si>
    <t xml:space="preserve">Данное мыло – лучшее средство для качественного мытья и безопасной антимикробной и противовирусной обработки вещей в быту. 
Обладает способностью разрушать липидные мембраны вирусов и бактерий, тем самым уничтожая их не менее эффективно, чем спирт.
рН мыльной пены 9,5 является оптимальным для быстрого подавления большей части патогенной микрофлоры и для эффективного удаления бытовых загрязнений с поверхностей. 
При этом мыло является дерматологически мягким, поэтому может использоваться и для обычного мытья / антисептической обработки кожи рук.  
Мыло не содержит синтетических ПАВ, отдушек и красителей (гипоаллергенно), легко смывается водой, не оставляет налета и посторонних запахов.
</t>
  </si>
  <si>
    <t xml:space="preserve">Состав: омыленная смесь кокосового, пальмоядрового, пальмового масел,  стеариновая  кислота растительного происхождения, вода, карбонат натрия, хлорид натрия.   </t>
  </si>
  <si>
    <t xml:space="preserve">Применение: для ручной стирки и мытья рук используйте мыло привычным способом. Для очищения поверхностей (в т.ч. для мытья игрушек) намыльте губку мылом и протрите губкой обрабатываемую поверхность. Остатки пены смойте теплой водой или соберите чистой губкой. При необходимости просушите вымытую поверхность полотенцем или бумажной салфеткой. 
Для достижения антибактериального эффекта мыльная пена должна находится в контакте с обрабатываемой поверхностью не менее 30 секунд.  
</t>
  </si>
  <si>
    <t>https://disk.yandex.ru/d/49AoJ0n6kofKWQ</t>
  </si>
  <si>
    <t>https://www.kleona.com/dlya-doma/myla-dlya-hozyajstvennyh-nuzhd/mylo-universal-noe/</t>
  </si>
  <si>
    <t>Сопутствующие товары</t>
  </si>
  <si>
    <t>ЛОЖКА (укажите, если заказали сухие маски)</t>
  </si>
  <si>
    <t xml:space="preserve">Косметичка ПВХ подарочная №1       13*10*5   </t>
  </si>
  <si>
    <r>
      <t xml:space="preserve">Косметичка ПВХ подарочная №2       15.5*12*5    </t>
    </r>
    <r>
      <rPr>
        <b/>
        <sz val="10"/>
        <color rgb="FFFF0000"/>
        <rFont val="Arial"/>
        <family val="2"/>
        <charset val="204"/>
      </rPr>
      <t xml:space="preserve"> </t>
    </r>
  </si>
  <si>
    <t xml:space="preserve">Коробка  КРАФТ с прозрачной крышкой+обечайка+наполнитель 15.5*11*4.5   </t>
  </si>
  <si>
    <t xml:space="preserve">Коробка  БЕЛАЯ с прозрачной крышкой+обечайка+наполнитель  15.5*11*4.5   </t>
  </si>
  <si>
    <t>Коробка подарочная 16*11*6  крафт</t>
  </si>
  <si>
    <t xml:space="preserve">Коробка подарочная 16*11*6 крафт с этикеткой "Мужской характер"  + наполнитель </t>
  </si>
  <si>
    <t>Коробка подарочная 16*11*6 с новогодней этикеткой "Красные сани"    + наполнитель</t>
  </si>
  <si>
    <t xml:space="preserve">Коробка подарочная 16*11*6 крафт с этикеткой "Птицы" +наполнитель </t>
  </si>
  <si>
    <t xml:space="preserve">Коробка подарочная 16*11*6 крафт с этикеткой "Цветы" +наполнитель </t>
  </si>
  <si>
    <t xml:space="preserve">Коробка подарочная (с окошком, 23,5*23,5*6) </t>
  </si>
  <si>
    <r>
      <t>Коробка микрогофрокартон крафт (внутр. размер 178*53*53)</t>
    </r>
    <r>
      <rPr>
        <b/>
        <sz val="10"/>
        <color rgb="FFFF0000"/>
        <rFont val="Arial"/>
        <family val="2"/>
        <charset val="204"/>
      </rPr>
      <t xml:space="preserve"> НОВИНКА!!!!!</t>
    </r>
  </si>
  <si>
    <t xml:space="preserve">Мочалка лыковая 45 см </t>
  </si>
  <si>
    <t>Лыковая мочалка – стопроцентно природный и экологически чистый аксессуар для ухода за вашей кожей. Изготавливается из глубинного слоя липовой коры.
Было время, когда лыковая мочалка почти вытеснилась разноцветной синтетикой. Но мода на яркое и кричащее проходит. А спрос на полезность и безопасность предметов нашего обихода остается.   
Лыковая мочалка - весьма полезная для здоровья вещь. Она обладает высокими моющими свойствами и не раздражает кожу. Она отшелушивает ороговевшие клетки, т.е. работает как скраб. И интенсивно разгоняет кровь по коже, тем самым проводя профилактику целлюлита. Распаренное лыко обильно выделяет фитонциды, отчего мочалка оказывает на кожу антисептическое и противовоспалительное действие. И удовольствие, ни с чем несравнимое удовольствие от контакта вашей кожи с чем-то природным, родным. Разве может подарить Вам такое удовольствие синтетическая мочалка? 
Кожа после мытья лыковой мочалкой ощущается мягкой, свежей и молодой.
Скажете – реклама! Тогда попробуйте сами!</t>
  </si>
  <si>
    <t>липовая кора</t>
  </si>
  <si>
    <t>Чтобы мочалка служила вам долго и также долго приносила радость и удовлетворение, за ней надо ухаживать. После каждого использования хорошенько вымойте мочалку с мылом и обязательно высушите ее на батарее.</t>
  </si>
  <si>
    <t>https://kleona.com/dlya-dusha-i-bani/bannye-i-vannye-prinadlezhnosti/lykovaya-mochalka/</t>
  </si>
  <si>
    <t>Мочалка лыковая 90 см</t>
  </si>
  <si>
    <t>Мочалка лыковая с ручками</t>
  </si>
  <si>
    <t>Мочалка из люфы "Семейная" с ручками</t>
  </si>
  <si>
    <t>0677</t>
  </si>
  <si>
    <t xml:space="preserve">Мыльница-решетка деревянная с логотипом   </t>
  </si>
  <si>
    <t>Незатейливая, но очень полезная вещица для хранения натурального мыла в процессе его использования. Простота конструкции исключает скапливание воды, обеспечивает хорошую вентилируемость и тем самым не позволяет мылу раскисать.
Мыльница на 100% экологична. Она выполнена из натуральной сосны, не обработана ни лаком, ни пропитками, никакими иными химическими материалами.</t>
  </si>
  <si>
    <t>сосна обыкновенная</t>
  </si>
  <si>
    <t>Рекомендуется периодически очищать мыльницу от остатков мыла горячей водой, используя жесткую мочалку.</t>
  </si>
  <si>
    <t>Мыльница-решетка деревянная без логотипа</t>
  </si>
  <si>
    <t>https://kleona.com/dlya-dusha-i-bani/bannye-i-vannye-prinadlezhnosti/myl-nica-iz-natural-nogo-dereva/</t>
  </si>
  <si>
    <t>Пакет бумажный крафт без ручек 350*120*85 (беж)</t>
  </si>
  <si>
    <t>Пакеты бумажные крафт с логотипом  240*220*120 (беж)</t>
  </si>
  <si>
    <t>Пакет бумажный белый с логотипом 240*220*100</t>
  </si>
  <si>
    <t xml:space="preserve">Пилка шлифовальная для ног  (двусторонняя)  </t>
  </si>
  <si>
    <r>
      <rPr>
        <b/>
        <sz val="10"/>
        <rFont val="Arial"/>
        <family val="2"/>
        <charset val="204"/>
      </rPr>
      <t xml:space="preserve">Помазок для бритья (свиной ворс) с черной  ручкой </t>
    </r>
    <r>
      <rPr>
        <b/>
        <sz val="10"/>
        <color indexed="10"/>
        <rFont val="Arial"/>
        <family val="2"/>
        <charset val="204"/>
      </rPr>
      <t xml:space="preserve"> </t>
    </r>
  </si>
  <si>
    <t>Печатная продукция</t>
  </si>
  <si>
    <t>бесплатно</t>
  </si>
  <si>
    <t>Флаер  "Монастырский сбор"  МЫЛО (монохром)</t>
  </si>
  <si>
    <t>Флаер  "Монастырский сбор"  ТВЕРДЫЕ ШАМПУНИ (монохром)</t>
  </si>
  <si>
    <t>Флаер  "Монастырский сбор"  ЖИДКИЕ ШАМПУНИ (монохром)</t>
  </si>
  <si>
    <t>Флаер  "Монастырский сбор"  ДОП. УХОД (монохром)</t>
  </si>
  <si>
    <t>Флаер на серию БЕЛЫЙ РИС (монохром)</t>
  </si>
  <si>
    <r>
      <rPr>
        <b/>
        <sz val="10"/>
        <rFont val="Arial"/>
        <family val="2"/>
        <charset val="204"/>
      </rPr>
      <t xml:space="preserve">Флаер на серию ОБЛЕПИХА (монохром) </t>
    </r>
    <r>
      <rPr>
        <b/>
        <sz val="10"/>
        <color indexed="10"/>
        <rFont val="Arial"/>
        <family val="2"/>
        <charset val="204"/>
      </rPr>
      <t xml:space="preserve"> </t>
    </r>
  </si>
  <si>
    <t>Флаер на серию ОВСЯНКА (монохром)</t>
  </si>
  <si>
    <t xml:space="preserve">Флаер ПРОБЛЕМНАЯ КОЖА (монохром)  </t>
  </si>
  <si>
    <t>Флаер на серию ДВА КОРЕШКА (монохром)</t>
  </si>
  <si>
    <r>
      <rPr>
        <b/>
        <sz val="10"/>
        <rFont val="Arial"/>
        <family val="2"/>
        <charset val="204"/>
      </rPr>
      <t xml:space="preserve">Флаер на серию КРАПИВА (монохром) </t>
    </r>
    <r>
      <rPr>
        <b/>
        <sz val="10"/>
        <color indexed="10"/>
        <rFont val="Arial"/>
        <family val="2"/>
        <charset val="204"/>
      </rPr>
      <t xml:space="preserve"> </t>
    </r>
  </si>
  <si>
    <t xml:space="preserve">Флаер на серию ИНТИМНАЯ ГИГИЕНА (монохром)  </t>
  </si>
  <si>
    <t>Флаер на серию ANTI-AGE (монохром)</t>
  </si>
  <si>
    <t>Флаер на серию УХОД ЗА НОГАМИ (монохром)</t>
  </si>
  <si>
    <t xml:space="preserve">Флаер на СЫВОРОТКИ (монохром)  </t>
  </si>
  <si>
    <t>Флаер на ГИДРОЛАТЫ (монохром)</t>
  </si>
  <si>
    <t>Флаер на БАЛЬЗАМЫ (монохром)</t>
  </si>
  <si>
    <t xml:space="preserve">Флаер на ЭКЗОТИЧЕСКИЕ мыла (монохром)   </t>
  </si>
  <si>
    <t>Флаер на МАСКИ и СКРАБЫ для лица</t>
  </si>
  <si>
    <t>Флаер на ПЕНКИ для умывания</t>
  </si>
  <si>
    <t xml:space="preserve">Флаер на БУСТЕРЫ </t>
  </si>
  <si>
    <t>Флаер на АНТИСЕПТИКИ</t>
  </si>
  <si>
    <t>Флаер на серию БЕЛАЯ УЛИТКА</t>
  </si>
  <si>
    <t>Флаер на СОЛНЦЕЗАЩИТНУЮ серию</t>
  </si>
  <si>
    <t>0065</t>
  </si>
  <si>
    <t>Банка mini (под пробники)</t>
  </si>
  <si>
    <r>
      <rPr>
        <b/>
        <sz val="10"/>
        <rFont val="Arial"/>
        <family val="2"/>
        <charset val="204"/>
      </rPr>
      <t>Банка пластиковая подарочная</t>
    </r>
    <r>
      <rPr>
        <b/>
        <sz val="10"/>
        <color indexed="10"/>
        <rFont val="Arial"/>
        <family val="2"/>
        <charset val="204"/>
      </rPr>
      <t xml:space="preserve"> </t>
    </r>
    <r>
      <rPr>
        <b/>
        <sz val="10"/>
        <rFont val="Arial"/>
        <family val="2"/>
        <charset val="204"/>
      </rPr>
      <t>125х100 мм</t>
    </r>
    <r>
      <rPr>
        <b/>
        <sz val="10"/>
        <color indexed="10"/>
        <rFont val="Arial"/>
        <family val="2"/>
        <charset val="204"/>
      </rPr>
      <t xml:space="preserve"> </t>
    </r>
  </si>
  <si>
    <t>Этикетки к брусам</t>
  </si>
  <si>
    <t>Каталог (презентация продукции)</t>
  </si>
  <si>
    <t>Шоу-бокс</t>
  </si>
  <si>
    <t>СЕРТИФИКАТЫ</t>
  </si>
  <si>
    <t>Итого к оплате</t>
  </si>
  <si>
    <t xml:space="preserve"> </t>
  </si>
  <si>
    <t>KLEONA ссылка на яндекс облако</t>
  </si>
  <si>
    <t>https://yadi.sk/d/WcYLm6gP8C3nFQ?w=1</t>
  </si>
  <si>
    <t>На данном ресурсе Вы можете скачать следующие документы:</t>
  </si>
  <si>
    <t>Предметное фото продукции для сайтов</t>
  </si>
  <si>
    <t>https://disk.yandex.ru/d/IHHP1zvDeL3iIg</t>
  </si>
  <si>
    <t>СЕРТИФИКАЦИЯ</t>
  </si>
  <si>
    <t>https://disk.yandex.ru/d/5S4ROxJwpX5h_w</t>
  </si>
  <si>
    <t xml:space="preserve">Презентации </t>
  </si>
  <si>
    <t>https://disk.yandex.ru/d/-nl1uNZKa3rhyg</t>
  </si>
  <si>
    <t>Каталог продукции</t>
  </si>
  <si>
    <t>https://disk.yandex.ru/d/e2dwSs6xge0AYQ</t>
  </si>
  <si>
    <t>Презентация БАНИ</t>
  </si>
  <si>
    <t>https://disk.yandex.ru/i/k3ssKlwfQsL-5Q</t>
  </si>
  <si>
    <t>Фото новогодней продукции</t>
  </si>
  <si>
    <t>https://disk.yandex.ru/d/kInAm-1bVhsfnw</t>
  </si>
  <si>
    <t>Логотипы KLEONA</t>
  </si>
  <si>
    <t>https://disk.yandex.ru/d/2zkkb0el2uVu5Q</t>
  </si>
  <si>
    <t>Постеры, банеры</t>
  </si>
  <si>
    <t>https://disk.yandex.ru/d/L57dRXm1hC1VZg</t>
  </si>
  <si>
    <t>Видео материалы</t>
  </si>
  <si>
    <t>https://disk.yandex.ru/d/hAOlJxGcNxWboA</t>
  </si>
  <si>
    <t>Вебинары</t>
  </si>
  <si>
    <t>https://disk.yandex.ru/d/OIX-0vmifMkMGA</t>
  </si>
  <si>
    <t>Презентации на средства</t>
  </si>
  <si>
    <t>https://disk.yandex.ru/d/pmGPJzzZSAjVpA</t>
  </si>
  <si>
    <t>Скрабы и маски для лица</t>
  </si>
  <si>
    <t>Роза Гель для умывания</t>
  </si>
  <si>
    <t>Гели-шампуни</t>
  </si>
  <si>
    <t>http://kleona.tilda.ws/showergel_shampoo</t>
  </si>
  <si>
    <t>Гидролат Василька</t>
  </si>
  <si>
    <t>http://kleona.tilda.ws/vasilek_gidrolat</t>
  </si>
  <si>
    <t>Помазки для бритья</t>
  </si>
  <si>
    <t>http://kleona.tilda.ws/pomazki</t>
  </si>
  <si>
    <t>Мыло алеппское</t>
  </si>
  <si>
    <t>http://kleona.tilda.ws/aleppskoe</t>
  </si>
  <si>
    <t xml:space="preserve">Белая улитка Мыло универсальное и для фруктов </t>
  </si>
  <si>
    <t>http://kleona.tilda.ws/soap</t>
  </si>
  <si>
    <t>Пенки для умывания</t>
  </si>
  <si>
    <t>http://kleona.tilda.ws/penki</t>
  </si>
  <si>
    <t>Фото для контентов в социальных сетях</t>
  </si>
  <si>
    <t>https://yadi.sk/a/3r5-OvJeKLgwEQ</t>
  </si>
  <si>
    <t>https://yadi.sk/a/OCpeRRNJB_TdRQ</t>
  </si>
  <si>
    <t>Видеоматериалы о компании</t>
  </si>
  <si>
    <t>https://disk.yandex.ru/d/acqFL3cXLyasJQ</t>
  </si>
  <si>
    <t xml:space="preserve">                                  Бланк заказа подарков                          </t>
  </si>
  <si>
    <t>количество указывайте в желтых ячейках ))</t>
  </si>
  <si>
    <t>сроки исполнения заказа по согласовнию</t>
  </si>
  <si>
    <t xml:space="preserve">Клиент </t>
  </si>
  <si>
    <t>Наличие жесткой упаковки (обрешетки) - укажите ДА или НЕТ</t>
  </si>
  <si>
    <t>Контактный телефон</t>
  </si>
  <si>
    <t>Контактное лицо</t>
  </si>
  <si>
    <t>ШТРИХ-КОД</t>
  </si>
  <si>
    <t>артикул</t>
  </si>
  <si>
    <t>от 30 тыс.</t>
  </si>
  <si>
    <t>20-30 тыс.</t>
  </si>
  <si>
    <t>Брутто за шт. (г)</t>
  </si>
  <si>
    <t>Подарочный набор "РОЗА" стандарт</t>
  </si>
  <si>
    <t>Крем для лица день-ночь "Роза", 50 мл</t>
  </si>
  <si>
    <t xml:space="preserve">Коробка подарочная "Роза" </t>
  </si>
  <si>
    <t>Подарочный набор "РОЗА" мини-формат</t>
  </si>
  <si>
    <t xml:space="preserve">Цветочная вода "Роза", 60 мл   </t>
  </si>
  <si>
    <t xml:space="preserve">Крем для лица день-ночь "Роза", 15 мл </t>
  </si>
  <si>
    <t>Банка подарочная</t>
  </si>
  <si>
    <t>Подарочный набор "ДВА КОРЕШКА" мини-формат</t>
  </si>
  <si>
    <t>Бальзам Одуванчик и Солодка, 40 мл</t>
  </si>
  <si>
    <t>Кондиционер Цикорий и Алтей, 40 мл</t>
  </si>
  <si>
    <t>Шампунь Имбирь и Пион, 50 мл</t>
  </si>
  <si>
    <t>Подарочный набор "АПЕЛЬСИНОВЫЙ" в банке</t>
  </si>
  <si>
    <t>Подарочный набор "КОФЕЙНЫЙ" в банке</t>
  </si>
  <si>
    <t>Подарочный набор "МОЛОЧНЫЙ" в банке</t>
  </si>
  <si>
    <t>Подарочный набор "АПЕЛЬСИНОВЫЙ" в ящике</t>
  </si>
  <si>
    <t>Мыло банное "Апельсиновое", 120 г</t>
  </si>
  <si>
    <t>Наполнитель лыковый + лента</t>
  </si>
  <si>
    <t xml:space="preserve">Ящик деревянный </t>
  </si>
  <si>
    <t>Подарочный набор "КОФЕЙНЫЙ" в ящике</t>
  </si>
  <si>
    <t>Молочко для тела "Кофейное" увлажн., освеж., 100 мл</t>
  </si>
  <si>
    <t>Мыло банное "Кофейное", 120 г</t>
  </si>
  <si>
    <t>Подарочный набор "МОЛОЧНЫЙ" в ящике</t>
  </si>
  <si>
    <t>Молочко для тела "Молочное" увлажн., освеж., 100 мл</t>
  </si>
  <si>
    <t>Мыло банное "Молочное", 120 г</t>
  </si>
  <si>
    <t>Подарочный набор "Кофейный" в коробке</t>
  </si>
  <si>
    <t>Скраб кукурузный "Кофейный", 200 г</t>
  </si>
  <si>
    <t>Мыло "Кофейное" с молотыми зернами и пряностями, 145 г</t>
  </si>
  <si>
    <t>Коробка "Домики"</t>
  </si>
  <si>
    <t>Подарочный набор "Шоколадный" в коробке</t>
  </si>
  <si>
    <t>Скраб кукурузный "Шоколадный", 200 г</t>
  </si>
  <si>
    <t>Мыло "Шоколадное" с молочными сливками и ванилью, 145 г</t>
  </si>
  <si>
    <t>Коробка "Синий бычок"</t>
  </si>
  <si>
    <t>Подарочный набор "Цитрусовый" в коробке</t>
  </si>
  <si>
    <t>Скраб сахарный "Грейпфрутовый", 200 г</t>
  </si>
  <si>
    <t xml:space="preserve">Мыло "Апельсиновое" с миндальным маслом и мятой, 145 г </t>
  </si>
  <si>
    <t>Коробка "Красные сани"</t>
  </si>
  <si>
    <t>Подарочный набор "Ромовая баба" в коробке</t>
  </si>
  <si>
    <t xml:space="preserve">Гель-шампунь новогодний  "Ромовая баба", 200 мл   </t>
  </si>
  <si>
    <t>Подарочный набор "Лавандовый вечер" в коробке</t>
  </si>
  <si>
    <t xml:space="preserve">Гель-шампунь  новогодний "Лавандовый", 200 мл    </t>
  </si>
  <si>
    <t>Подарочный набор "Цитрусовая свежесть" в коробке</t>
  </si>
  <si>
    <t xml:space="preserve">Гель-шампунь  новогодний "Грейпфрут", 200 мл  </t>
  </si>
  <si>
    <t>Подарочный набор "Кофейное настроение" в коробке</t>
  </si>
  <si>
    <t xml:space="preserve">Гель-шампунь новогодний "Кофейный", 200 мл    </t>
  </si>
  <si>
    <t>Подарочный набор для мужчин "С облепихой" в коробке</t>
  </si>
  <si>
    <t xml:space="preserve">Бальзам после бритья с облепихой, календулой и маслом грейпфрута (восстанавливающий) В ТУБУСЕ, 50 мл </t>
  </si>
  <si>
    <t>Подарочный набор для мужчин "С мятой" в коробке</t>
  </si>
  <si>
    <t>Шампунь "Мужской характер" с хвощом, 250 мл</t>
  </si>
  <si>
    <t>Подарочный набор для мужчин "С кофе" в коробке</t>
  </si>
  <si>
    <t xml:space="preserve">Гель для душа "Мужской характер" с черным кофе, 200 мл  </t>
  </si>
  <si>
    <t>Шампунь "Мужской характер" с черным кофе, 200 мл</t>
  </si>
  <si>
    <t>МУЖСКОЙ ХАРАКТЕР   подарочный набор "Пиво с рыбой"</t>
  </si>
  <si>
    <t>Прозрачный пакет + лента</t>
  </si>
  <si>
    <t>МУЖСКОЙ ХАРАКТЕР   подарочный набор № 1</t>
  </si>
  <si>
    <t>Бальзам после бритья с маслами календулы, зверобоя и голубой ромашки (успокаивающий), 50 мл</t>
  </si>
  <si>
    <t>МУЖСКОЙ ХАРАКТЕР   подарочный набор № 2</t>
  </si>
  <si>
    <t xml:space="preserve">Бальзам после бритья с хлорофиллом, ментолом и D-пантенолом (освежающий), 50 мл </t>
  </si>
  <si>
    <t>МУЖСКОЙ ХАРАКТЕР   подарочный набор № 3</t>
  </si>
  <si>
    <t xml:space="preserve">Шампунь "Мужской характер" с хвощом, 250 мл  </t>
  </si>
  <si>
    <t>МУЖСКОЙ ХАРАКТЕР   подарочный набор № 4</t>
  </si>
  <si>
    <t xml:space="preserve">Гель для душа "Мужской характер" с черным кофе, 200 мл </t>
  </si>
  <si>
    <t xml:space="preserve">Шампунь "Мужской характер" с черным кофе, 250 мл </t>
  </si>
  <si>
    <t>МУЖСКОЙ ХАРАКТЕР   подарочный набор № 5</t>
  </si>
  <si>
    <r>
      <rPr>
        <b/>
        <sz val="10"/>
        <rFont val="Arial Cyr"/>
        <charset val="204"/>
      </rPr>
      <t xml:space="preserve">Бальзам после бритья с облепихой, календулой и маслом грейпфрута (восстанавливающий) </t>
    </r>
    <r>
      <rPr>
        <b/>
        <sz val="10"/>
        <color indexed="10"/>
        <rFont val="Arial Cyr"/>
        <charset val="204"/>
      </rPr>
      <t>В ТУБУСЕ</t>
    </r>
    <r>
      <rPr>
        <b/>
        <sz val="10"/>
        <rFont val="Arial Cyr"/>
        <charset val="204"/>
      </rPr>
      <t xml:space="preserve">, 50 мл </t>
    </r>
  </si>
  <si>
    <t>МУЖСКОЙ ХАРАКТЕР   подарочный набор № 6</t>
  </si>
  <si>
    <r>
      <rPr>
        <b/>
        <sz val="10"/>
        <rFont val="Arial Cyr"/>
        <charset val="204"/>
      </rPr>
      <t xml:space="preserve">Бальзам после бритья с эхинацеей, гамамелисом и маслом чайного дерева (противовоспалительный) </t>
    </r>
    <r>
      <rPr>
        <b/>
        <sz val="10"/>
        <color indexed="10"/>
        <rFont val="Arial Cyr"/>
        <charset val="204"/>
      </rPr>
      <t>В ТУБУСЕ</t>
    </r>
    <r>
      <rPr>
        <b/>
        <sz val="10"/>
        <rFont val="Arial Cyr"/>
        <charset val="204"/>
      </rPr>
      <t>, 50 мл</t>
    </r>
  </si>
  <si>
    <t>МУЖСКОЙ ХАРАКТЕР   подарочный набор № 7</t>
  </si>
  <si>
    <t xml:space="preserve">Гель-шампунь "Мужской характер" с лавандой, 200 мл   </t>
  </si>
  <si>
    <r>
      <t xml:space="preserve">ЖЕНСКИЙ подарочный набор № 1      </t>
    </r>
    <r>
      <rPr>
        <b/>
        <sz val="10"/>
        <color rgb="FFFF0000"/>
        <rFont val="Arial"/>
        <family val="2"/>
        <charset val="204"/>
      </rPr>
      <t>НОВИНКА</t>
    </r>
  </si>
  <si>
    <t>Крем для кожи вокруг глаз "Белый рис" 15 мл</t>
  </si>
  <si>
    <t>Двухфазная эмульсия "Белый рис" 100 мл</t>
  </si>
  <si>
    <t>Коробка подарочная 16*11*6  крафт этикетка "Птицы"</t>
  </si>
  <si>
    <t>ЖЕНСКИЙ   подарочный набор № 2</t>
  </si>
  <si>
    <r>
      <t xml:space="preserve">ЖЕНСКИЙ   подарочный набор № 3       </t>
    </r>
    <r>
      <rPr>
        <b/>
        <sz val="10"/>
        <color rgb="FFFF0000"/>
        <rFont val="Arial"/>
        <family val="2"/>
        <charset val="204"/>
      </rPr>
      <t>НОВИНКА</t>
    </r>
  </si>
  <si>
    <t xml:space="preserve">Гель для душа "Сочный грейпфрут", 100 мл   </t>
  </si>
  <si>
    <r>
      <t>Молочко для тела "Апельсин",  100 мл</t>
    </r>
    <r>
      <rPr>
        <b/>
        <sz val="10"/>
        <color indexed="10"/>
        <rFont val="Arial"/>
        <family val="2"/>
        <charset val="204"/>
      </rPr>
      <t xml:space="preserve"> </t>
    </r>
  </si>
  <si>
    <t xml:space="preserve">Коробка  КРАФТ с прозрачной крышкой+обечайка+наполнитель </t>
  </si>
  <si>
    <r>
      <t xml:space="preserve">ЖЕНСКИЙ   подарочный набор № 4        </t>
    </r>
    <r>
      <rPr>
        <b/>
        <sz val="10"/>
        <color rgb="FFFF0000"/>
        <rFont val="Arial"/>
        <family val="2"/>
        <charset val="204"/>
      </rPr>
      <t>НОВИНКА</t>
    </r>
  </si>
  <si>
    <t xml:space="preserve">Гель для душа "Лавандовый сон", 100 мл   </t>
  </si>
  <si>
    <r>
      <t>Молочко для тела "Овсянка",  100 мл</t>
    </r>
    <r>
      <rPr>
        <b/>
        <sz val="10"/>
        <color indexed="10"/>
        <rFont val="Arial"/>
        <family val="2"/>
        <charset val="204"/>
      </rPr>
      <t xml:space="preserve"> </t>
    </r>
  </si>
  <si>
    <t xml:space="preserve">Коробка  БЕЛАЯ с прозрачной крышкой+обечайка+наполнитель  </t>
  </si>
  <si>
    <t>ЖЕНСКИЙ подарочный набор № 5</t>
  </si>
  <si>
    <t xml:space="preserve">"Белый рис" двухфазная эмульсия для снятия макияжа, 150 мл   </t>
  </si>
  <si>
    <t>ЖЕНСКИЙ   подарочный набор № 6</t>
  </si>
  <si>
    <r>
      <rPr>
        <b/>
        <sz val="10"/>
        <rFont val="Arial"/>
        <family val="2"/>
        <charset val="204"/>
      </rPr>
      <t xml:space="preserve">Сыворотка "Овсянка" увлажняющая, 25 мл  (+ФЛАЕР) </t>
    </r>
    <r>
      <rPr>
        <b/>
        <sz val="10"/>
        <color indexed="10"/>
        <rFont val="Arial"/>
        <family val="2"/>
        <charset val="204"/>
      </rPr>
      <t xml:space="preserve">  </t>
    </r>
  </si>
  <si>
    <t>Гидролат "Ромашка", 100 мл</t>
  </si>
  <si>
    <t>Коробка подарочная 16*11*6  крафт, этикетка "Цветы"</t>
  </si>
  <si>
    <t>ЖЕНСКИЙ   подарочный набор № 7</t>
  </si>
  <si>
    <t>ЖЕНСКИЙ   подарочный набор № 8</t>
  </si>
  <si>
    <t>Скраб сахарный "Сочный грейпфрут", 200 г</t>
  </si>
  <si>
    <t>ЖЕНСКИЙ   подарочный набор № 9</t>
  </si>
  <si>
    <t>Шампунь "Имбирь и пион", 100 мл</t>
  </si>
  <si>
    <t>Кондиционер "Алтией и цикорий", 350 мл</t>
  </si>
  <si>
    <t>ЖЕНСКИЙ   подарочный набор № 10</t>
  </si>
  <si>
    <t>Коробка подарочная 16*11*6  крафт, этикетка "Птицы"</t>
  </si>
  <si>
    <t>4627186341091</t>
  </si>
  <si>
    <t>НОВОГОДНИЙ   подарочный набор № 1                                            ПРЯНЫЙ</t>
  </si>
  <si>
    <t>Скраб сахарный "Пряный", 200 г</t>
  </si>
  <si>
    <t xml:space="preserve">Гель-шампунь "Ромовая баба", 100 мл </t>
  </si>
  <si>
    <t xml:space="preserve">Коробка подарочная 16*11*6  крафт  </t>
  </si>
  <si>
    <t>4627186341107</t>
  </si>
  <si>
    <t>НОВОГОДНИЙ   подарочный набор № 2                                  КЛЮКВЕННЫЙ</t>
  </si>
  <si>
    <t>Скраб сахарный "Клюквенный", 200 г</t>
  </si>
  <si>
    <t>4627186341114</t>
  </si>
  <si>
    <t>НОВОГОДНИЙ   подарочный набор № 3                                       ГРЕЙПФРУТ</t>
  </si>
  <si>
    <t>Гель-шампунь "Грейпфрут",  100 мл</t>
  </si>
  <si>
    <t>4627186341121</t>
  </si>
  <si>
    <t xml:space="preserve">НОВОГОДНИЙ   подарочный набор №4                                  ЛАВАНДОВЫЙ </t>
  </si>
  <si>
    <t xml:space="preserve">Гель для душа "Лавандовый сон", 100 мл </t>
  </si>
  <si>
    <t>4627186341138</t>
  </si>
  <si>
    <t>НОВОГОДНИЙ   подарочный набор № 5                                    КОКОСОВЫЙ</t>
  </si>
  <si>
    <t>Гель для душа  "Кокос", 100 мл</t>
  </si>
  <si>
    <t>Молочко для тела "Кокос", 100 мл</t>
  </si>
  <si>
    <t>Коробка подарочная 10*10*6  крафт</t>
  </si>
  <si>
    <t>4627186340179</t>
  </si>
  <si>
    <t>НОВОГОДНИЙ   подарочный набор № 6                                   ЦИТРУСОВЫЙ</t>
  </si>
  <si>
    <t>Гель для душа "Сочный грейпфрут", 100 г</t>
  </si>
  <si>
    <t>Молочко для тела "Апельсин", 100 мл</t>
  </si>
  <si>
    <t>4627186340186</t>
  </si>
  <si>
    <t>НОВОГОДНИЙ   подарочный набор № 7                        ВАНИЛЬНЫЙ КОКОС</t>
  </si>
  <si>
    <t>Мыло новогоднее "Ванильное", 145 г</t>
  </si>
  <si>
    <t>Гель для душа  "Кокос", 200 мл</t>
  </si>
  <si>
    <t>4627186340162</t>
  </si>
  <si>
    <t>НОВОГОДНИЙ   подарочный набор № 8                     ВАНИЛЬНЫЙ ДЮШЕС</t>
  </si>
  <si>
    <t>Гель для душа  "Дюшес", 200 мл</t>
  </si>
  <si>
    <t>4627186340193</t>
  </si>
  <si>
    <t>НОВОГОДНИЙ   подарочный набор № 9                               РОМОВАЯ БАБА</t>
  </si>
  <si>
    <t xml:space="preserve">Гель-шампунь "Ромовая баба", 200 мл </t>
  </si>
  <si>
    <t>Мыло новогоднее "Молочное", 145 г</t>
  </si>
  <si>
    <t>4627186340216</t>
  </si>
  <si>
    <t>НОВОГОДНИЙ   подарочный набор № 10            ЦИТРУСОВАЯ СВЕЖЕСТЬ</t>
  </si>
  <si>
    <t>Гель-шампунь "Грейпфрут",  200 мл</t>
  </si>
  <si>
    <t>Мыло новогоднее "Апельсин" с корицей, 145 г</t>
  </si>
  <si>
    <t>4627186340209</t>
  </si>
  <si>
    <t>НОВОГОДНИЙ   подарочный набор № 11                  ЛАВАНДОВЫЙ ЛАТТЕ</t>
  </si>
  <si>
    <t>Гель-шампунь новогодний "Кофейный", 200 мл</t>
  </si>
  <si>
    <t>Мыло новогоднее "Лаванда", 145 г</t>
  </si>
  <si>
    <t>НОВОГОДНИЙ   подарочный набор № 12              КОФЕЙНОЕ НАСТРОЕНИЕ</t>
  </si>
  <si>
    <t>4627186341152</t>
  </si>
  <si>
    <t>Подарочный набор № 13                                    "АПЕЛЬСИНОВЫЙ" в банке</t>
  </si>
  <si>
    <t>Банка подарочная + этикетка-елочка</t>
  </si>
  <si>
    <t>4627186341169</t>
  </si>
  <si>
    <t>Подарочный набор № 14                                             "КОФЕЙНЫЙ" в банке</t>
  </si>
  <si>
    <t>4627186341176</t>
  </si>
  <si>
    <t>Подарочный набор № 15                                            "МОЛОЧНЫЙ" в банке</t>
  </si>
  <si>
    <t>4627186341183</t>
  </si>
  <si>
    <t>Подарочный набор № 16                                             "КОФЕЙНЫЙ" в ящике</t>
  </si>
  <si>
    <t>Ящик деревянный + этикетка-елочка</t>
  </si>
  <si>
    <t>4627186341190</t>
  </si>
  <si>
    <t xml:space="preserve">НОВОГОДНИЙ   подарочный набор № 17                                      "ANTI-AGE" </t>
  </si>
  <si>
    <t xml:space="preserve">№ 3.3   Сыворотка-филлер для лица, шеи и зоны декольте, 25 мл </t>
  </si>
  <si>
    <t xml:space="preserve">№ 4.2   Крем-суфле для тела, 100 мл  </t>
  </si>
  <si>
    <t>4627186341206</t>
  </si>
  <si>
    <t xml:space="preserve">НОВОГОДНИЙ   подарочный набор № 18                                "БЕЛЫЙ РИС" </t>
  </si>
  <si>
    <t>Двухфазная эмульсия для снятия макияжа, 100 мл</t>
  </si>
  <si>
    <t>ИТОГО</t>
  </si>
  <si>
    <t>д/ш/в см</t>
  </si>
  <si>
    <t>в/д/ш</t>
  </si>
  <si>
    <t>в/ш/д</t>
  </si>
  <si>
    <t>№1</t>
  </si>
  <si>
    <t>35*30*23</t>
  </si>
  <si>
    <t>230*350*300</t>
  </si>
  <si>
    <t>230*300*350</t>
  </si>
  <si>
    <t>№2</t>
  </si>
  <si>
    <t>32*23*23</t>
  </si>
  <si>
    <t>230*320*230</t>
  </si>
  <si>
    <t>№3</t>
  </si>
  <si>
    <t>30*20*20</t>
  </si>
  <si>
    <t>200*300*200</t>
  </si>
  <si>
    <t>200*200*300</t>
  </si>
  <si>
    <t>30*20*17</t>
  </si>
  <si>
    <t>170*300*200</t>
  </si>
  <si>
    <t>170*200*300</t>
  </si>
  <si>
    <t>21*13*17</t>
  </si>
  <si>
    <t>170*210*130</t>
  </si>
  <si>
    <t>170*130*210</t>
  </si>
  <si>
    <t>№6</t>
  </si>
  <si>
    <t>21*13*10</t>
  </si>
  <si>
    <t>крем для окжи вокруг глаз, мыло белый рис, маска для лица Овсянка, Проблемная кожа</t>
  </si>
  <si>
    <t>12 шт</t>
  </si>
  <si>
    <t>115*68*101</t>
  </si>
  <si>
    <t>П-01/6</t>
  </si>
  <si>
    <t>П-01/12</t>
  </si>
  <si>
    <t>115*137*204</t>
  </si>
  <si>
    <t>П-01/24</t>
  </si>
  <si>
    <t>125*72*108</t>
  </si>
  <si>
    <t>125*145*216</t>
  </si>
  <si>
    <t>125*145*110</t>
  </si>
  <si>
    <t>130*77*114</t>
  </si>
  <si>
    <t>130*154*228</t>
  </si>
  <si>
    <t>140*160*120</t>
  </si>
  <si>
    <t>140*80*120</t>
  </si>
  <si>
    <t>п-02/6</t>
  </si>
  <si>
    <t>п-02/12</t>
  </si>
  <si>
    <t>140*162*240</t>
  </si>
  <si>
    <t>п-02/24</t>
  </si>
  <si>
    <t>100*66*195</t>
  </si>
  <si>
    <t>п-03/6</t>
  </si>
  <si>
    <t>100*255*195</t>
  </si>
  <si>
    <t>п-03/24</t>
  </si>
  <si>
    <t>100*66*192</t>
  </si>
  <si>
    <t>100*258*192</t>
  </si>
  <si>
    <t>87*69*204</t>
  </si>
  <si>
    <t>100*135*204</t>
  </si>
  <si>
    <t>100*137*204*</t>
  </si>
  <si>
    <t>117*95*141</t>
  </si>
  <si>
    <t>п-4/6</t>
  </si>
  <si>
    <t>117*187*279</t>
  </si>
  <si>
    <t>п-4/24</t>
  </si>
  <si>
    <t>145*96*141</t>
  </si>
  <si>
    <t>145*190*280</t>
  </si>
  <si>
    <t>145*190*140</t>
  </si>
  <si>
    <t>195х145х150</t>
  </si>
  <si>
    <t>150*59*171</t>
  </si>
  <si>
    <t>п-5/6</t>
  </si>
  <si>
    <t>150*171*227</t>
  </si>
  <si>
    <t>п-5/24</t>
  </si>
  <si>
    <t>150*54*174</t>
  </si>
  <si>
    <t>150*162*235</t>
  </si>
  <si>
    <t>230*205*105</t>
  </si>
  <si>
    <t>140х160х120</t>
  </si>
  <si>
    <t>Номенклатура корабов КЛЕОНА</t>
  </si>
  <si>
    <t>номер</t>
  </si>
  <si>
    <t>длина*ширина*высота, см</t>
  </si>
  <si>
    <t>назначение</t>
  </si>
  <si>
    <t>основной</t>
  </si>
  <si>
    <t>для бальзама Крапива</t>
  </si>
  <si>
    <t>маски для волос, интим</t>
  </si>
  <si>
    <t>крема в коробках</t>
  </si>
  <si>
    <t>21*13*18</t>
  </si>
  <si>
    <t>малый внутренний</t>
  </si>
  <si>
    <t>почтовый без маркировки</t>
  </si>
  <si>
    <t>№7</t>
  </si>
  <si>
    <t>16*12*15</t>
  </si>
  <si>
    <t>14*16*12</t>
  </si>
  <si>
    <t>20*14*10</t>
  </si>
  <si>
    <t>10*20*14</t>
  </si>
  <si>
    <t>№9</t>
  </si>
  <si>
    <t>20*11*23</t>
  </si>
  <si>
    <t>20*14*15</t>
  </si>
  <si>
    <t>Вставка в короба длина 125см ширина 22,5см</t>
  </si>
  <si>
    <t>Номенклатура коробов ГОШ</t>
  </si>
  <si>
    <t>№21</t>
  </si>
  <si>
    <t>46*27*27</t>
  </si>
  <si>
    <t>воскомасса</t>
  </si>
  <si>
    <t>№22</t>
  </si>
  <si>
    <t>32*24*22</t>
  </si>
  <si>
    <t>грунтовка</t>
  </si>
  <si>
    <t>№23</t>
  </si>
  <si>
    <t>30*17*16</t>
  </si>
  <si>
    <t>мыло зеленое 0,25</t>
  </si>
  <si>
    <t>№24</t>
  </si>
  <si>
    <t>28*28*28</t>
  </si>
  <si>
    <t>кокос</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</si>
</sst>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0.00000"/>
    <numFmt numFmtId="166" formatCode="0.000000"/>
    <numFmt numFmtId="167" formatCode="0.000"/>
  </numFmts>
  <fonts count="176">
    <font>
      <sz val="10"/>
      <name val="Arial Cyr"/>
      <family val="2"/>
      <charset val="204"/>
    </font>
    <font>
      <sz val="11"/>
      <color indexed="8"/>
      <name val="Calibri"/>
      <family val="2"/>
      <charset val="204"/>
    </font>
    <font>
      <sz val="6"/>
      <name val="Arial"/>
      <family val="2"/>
      <charset val="204"/>
    </font>
    <font>
      <b/>
      <sz val="9"/>
      <name val="Arial"/>
      <family val="2"/>
      <charset val="204"/>
    </font>
    <font>
      <b/>
      <sz val="10"/>
      <name val="Arial"/>
      <family val="2"/>
      <charset val="204"/>
    </font>
    <font>
      <b/>
      <sz val="7"/>
      <name val="Arial"/>
      <family val="2"/>
      <charset val="204"/>
    </font>
    <font>
      <b/>
      <sz val="10"/>
      <color indexed="8"/>
      <name val="Arial"/>
      <family val="2"/>
      <charset val="204"/>
    </font>
    <font>
      <b/>
      <sz val="12"/>
      <color indexed="8"/>
      <name val="Arial"/>
      <family val="2"/>
      <charset val="204"/>
    </font>
    <font>
      <b/>
      <sz val="8"/>
      <color indexed="60"/>
      <name val="Arial"/>
      <family val="2"/>
      <charset val="204"/>
    </font>
    <font>
      <b/>
      <sz val="10"/>
      <color indexed="30"/>
      <name val="Arial"/>
      <family val="2"/>
      <charset val="204"/>
    </font>
    <font>
      <b/>
      <sz val="8"/>
      <name val="Arial"/>
      <family val="2"/>
      <charset val="204"/>
    </font>
    <font>
      <b/>
      <sz val="8"/>
      <color indexed="54"/>
      <name val="Arial"/>
      <family val="2"/>
      <charset val="204"/>
    </font>
    <font>
      <sz val="8"/>
      <color indexed="30"/>
      <name val="Arial"/>
      <family val="2"/>
      <charset val="204"/>
    </font>
    <font>
      <sz val="8"/>
      <color indexed="60"/>
      <name val="Arial Cyr"/>
      <family val="2"/>
      <charset val="204"/>
    </font>
    <font>
      <sz val="8"/>
      <name val="Arial"/>
      <family val="2"/>
      <charset val="204"/>
    </font>
    <font>
      <sz val="10"/>
      <name val="Arial"/>
      <family val="2"/>
      <charset val="204"/>
    </font>
    <font>
      <b/>
      <sz val="12"/>
      <name val="Arial"/>
      <family val="2"/>
      <charset val="204"/>
    </font>
    <font>
      <sz val="7"/>
      <name val="Arial Cyr"/>
      <family val="2"/>
      <charset val="204"/>
    </font>
    <font>
      <sz val="12"/>
      <name val="Arial Cyr"/>
      <family val="2"/>
      <charset val="204"/>
    </font>
    <font>
      <b/>
      <sz val="10"/>
      <color indexed="60"/>
      <name val="Arial"/>
      <family val="2"/>
      <charset val="204"/>
    </font>
    <font>
      <b/>
      <sz val="20"/>
      <name val="Arial"/>
      <family val="2"/>
      <charset val="204"/>
    </font>
    <font>
      <b/>
      <sz val="16"/>
      <color indexed="8"/>
      <name val="Arial"/>
      <family val="2"/>
      <charset val="204"/>
    </font>
    <font>
      <b/>
      <sz val="16"/>
      <name val="Arial"/>
      <family val="2"/>
      <charset val="204"/>
    </font>
    <font>
      <sz val="8"/>
      <color indexed="60"/>
      <name val="Arial"/>
      <family val="2"/>
      <charset val="204"/>
    </font>
    <font>
      <sz val="16"/>
      <name val="Arial"/>
      <family val="2"/>
      <charset val="204"/>
    </font>
    <font>
      <b/>
      <sz val="16"/>
      <color indexed="60"/>
      <name val="Arial"/>
      <family val="2"/>
      <charset val="204"/>
    </font>
    <font>
      <b/>
      <i/>
      <sz val="20"/>
      <name val="Arial Cyr"/>
      <charset val="204"/>
    </font>
    <font>
      <b/>
      <sz val="11"/>
      <name val="Arial"/>
      <family val="2"/>
      <charset val="204"/>
    </font>
    <font>
      <i/>
      <sz val="15"/>
      <name val="Arial"/>
      <family val="2"/>
      <charset val="204"/>
    </font>
    <font>
      <b/>
      <sz val="7"/>
      <name val="Arial Cyr"/>
      <family val="2"/>
      <charset val="204"/>
    </font>
    <font>
      <b/>
      <sz val="8"/>
      <color indexed="8"/>
      <name val="Arial"/>
      <family val="2"/>
      <charset val="204"/>
    </font>
    <font>
      <b/>
      <sz val="7"/>
      <color indexed="30"/>
      <name val="Arial"/>
      <family val="2"/>
      <charset val="204"/>
    </font>
    <font>
      <b/>
      <sz val="7"/>
      <color indexed="8"/>
      <name val="Arial"/>
      <family val="2"/>
      <charset val="204"/>
    </font>
    <font>
      <b/>
      <sz val="10"/>
      <color indexed="9"/>
      <name val="Arial"/>
      <family val="2"/>
      <charset val="204"/>
    </font>
    <font>
      <b/>
      <sz val="10"/>
      <color indexed="8"/>
      <name val="Arial Cyr"/>
      <charset val="204"/>
    </font>
    <font>
      <b/>
      <sz val="10"/>
      <color indexed="8"/>
      <name val="Arial Cyr"/>
      <family val="2"/>
      <charset val="204"/>
    </font>
    <font>
      <b/>
      <sz val="10"/>
      <color indexed="54"/>
      <name val="Arial"/>
      <family val="2"/>
      <charset val="204"/>
    </font>
    <font>
      <u/>
      <sz val="10"/>
      <color indexed="12"/>
      <name val="Arial Cyr"/>
      <family val="2"/>
      <charset val="204"/>
    </font>
    <font>
      <b/>
      <sz val="8"/>
      <name val="Arial Cyr"/>
      <family val="2"/>
      <charset val="204"/>
    </font>
    <font>
      <b/>
      <sz val="10"/>
      <color indexed="10"/>
      <name val="Arial"/>
      <family val="2"/>
      <charset val="204"/>
    </font>
    <font>
      <b/>
      <sz val="10"/>
      <name val="Arial Cyr"/>
      <charset val="204"/>
    </font>
    <font>
      <b/>
      <sz val="10"/>
      <name val="Arial Cyr"/>
      <family val="2"/>
      <charset val="204"/>
    </font>
    <font>
      <b/>
      <sz val="6"/>
      <name val="Arial"/>
      <family val="2"/>
      <charset val="204"/>
    </font>
    <font>
      <sz val="9"/>
      <name val="Arial"/>
      <family val="2"/>
      <charset val="204"/>
    </font>
    <font>
      <sz val="8"/>
      <color indexed="23"/>
      <name val="Arial"/>
      <family val="2"/>
      <charset val="204"/>
    </font>
    <font>
      <b/>
      <sz val="9"/>
      <color indexed="8"/>
      <name val="Arial"/>
      <family val="2"/>
      <charset val="204"/>
    </font>
    <font>
      <sz val="6"/>
      <color indexed="8"/>
      <name val="Arial"/>
      <family val="2"/>
      <charset val="204"/>
    </font>
    <font>
      <sz val="8"/>
      <name val="Arial Cyr"/>
      <family val="2"/>
      <charset val="204"/>
    </font>
    <font>
      <sz val="11"/>
      <name val="Calibri"/>
      <family val="2"/>
      <charset val="204"/>
    </font>
    <font>
      <sz val="6"/>
      <name val="Arial Cyr"/>
      <charset val="204"/>
    </font>
    <font>
      <b/>
      <sz val="7"/>
      <name val="Arial Cyr"/>
      <charset val="204"/>
    </font>
    <font>
      <b/>
      <sz val="11"/>
      <color indexed="10"/>
      <name val="Arial"/>
      <family val="2"/>
      <charset val="204"/>
    </font>
    <font>
      <b/>
      <sz val="10"/>
      <color indexed="10"/>
      <name val="Arial Cyr"/>
      <charset val="204"/>
    </font>
    <font>
      <b/>
      <sz val="8"/>
      <color indexed="10"/>
      <name val="Arial"/>
      <family val="2"/>
      <charset val="204"/>
    </font>
    <font>
      <b/>
      <sz val="14"/>
      <name val="Arial"/>
      <family val="2"/>
      <charset val="204"/>
    </font>
    <font>
      <sz val="10"/>
      <color indexed="60"/>
      <name val="Arial Cyr"/>
      <family val="2"/>
      <charset val="204"/>
    </font>
    <font>
      <b/>
      <sz val="10"/>
      <color indexed="8"/>
      <name val="Tahoma"/>
      <family val="2"/>
      <charset val="204"/>
    </font>
    <font>
      <b/>
      <sz val="9"/>
      <color indexed="8"/>
      <name val="Tahoma"/>
      <family val="2"/>
      <charset val="204"/>
    </font>
    <font>
      <sz val="9"/>
      <color indexed="8"/>
      <name val="Tahoma"/>
      <family val="2"/>
      <charset val="204"/>
    </font>
    <font>
      <sz val="10"/>
      <color indexed="8"/>
      <name val="Arial"/>
      <family val="2"/>
      <charset val="204"/>
    </font>
    <font>
      <sz val="8"/>
      <color indexed="60"/>
      <name val="Times New Roman"/>
      <family val="1"/>
      <charset val="204"/>
    </font>
    <font>
      <sz val="16"/>
      <color indexed="8"/>
      <name val="Arial"/>
      <family val="2"/>
      <charset val="204"/>
    </font>
    <font>
      <sz val="16"/>
      <color indexed="60"/>
      <name val="Times New Roman"/>
      <family val="1"/>
      <charset val="204"/>
    </font>
    <font>
      <sz val="12"/>
      <color indexed="8"/>
      <name val="Arial"/>
      <family val="2"/>
      <charset val="204"/>
    </font>
    <font>
      <b/>
      <sz val="12"/>
      <color indexed="60"/>
      <name val="Arial"/>
      <family val="2"/>
      <charset val="204"/>
    </font>
    <font>
      <sz val="12"/>
      <color indexed="60"/>
      <name val="Times New Roman"/>
      <family val="1"/>
      <charset val="204"/>
    </font>
    <font>
      <sz val="12"/>
      <name val="Arial"/>
      <family val="2"/>
      <charset val="204"/>
    </font>
    <font>
      <sz val="12"/>
      <color indexed="10"/>
      <name val="Arial"/>
      <family val="2"/>
      <charset val="204"/>
    </font>
    <font>
      <b/>
      <sz val="10"/>
      <color indexed="60"/>
      <name val="Times New Roman"/>
      <family val="1"/>
      <charset val="204"/>
    </font>
    <font>
      <sz val="10"/>
      <color indexed="60"/>
      <name val="Arial"/>
      <family val="2"/>
      <charset val="204"/>
    </font>
    <font>
      <sz val="10"/>
      <color indexed="60"/>
      <name val="Times New Roman"/>
      <family val="1"/>
      <charset val="204"/>
    </font>
    <font>
      <sz val="10"/>
      <name val="Arial Cyr"/>
      <charset val="204"/>
    </font>
    <font>
      <b/>
      <sz val="8"/>
      <color indexed="60"/>
      <name val="Times New Roman"/>
      <family val="1"/>
      <charset val="204"/>
    </font>
    <font>
      <sz val="6"/>
      <name val="Arial Cyr"/>
      <family val="2"/>
      <charset val="204"/>
    </font>
    <font>
      <sz val="8"/>
      <color indexed="8"/>
      <name val="Arial"/>
      <family val="2"/>
      <charset val="204"/>
    </font>
    <font>
      <sz val="8"/>
      <name val="Arial Cyr"/>
      <charset val="204"/>
    </font>
    <font>
      <b/>
      <sz val="15"/>
      <name val="Arial"/>
      <family val="2"/>
      <charset val="204"/>
    </font>
    <font>
      <b/>
      <sz val="10"/>
      <name val="Bookman Old Style"/>
      <family val="1"/>
      <charset val="204"/>
    </font>
    <font>
      <b/>
      <sz val="10"/>
      <color theme="4"/>
      <name val="Arial"/>
      <family val="2"/>
      <charset val="204"/>
    </font>
    <font>
      <b/>
      <sz val="10"/>
      <color rgb="FF0070C0"/>
      <name val="Arial"/>
      <family val="2"/>
      <charset val="204"/>
    </font>
    <font>
      <b/>
      <sz val="10"/>
      <color rgb="FFFF0000"/>
      <name val="Arial"/>
      <family val="2"/>
      <charset val="204"/>
    </font>
    <font>
      <b/>
      <sz val="10"/>
      <color theme="0"/>
      <name val="Arial"/>
      <family val="2"/>
      <charset val="204"/>
    </font>
    <font>
      <sz val="6"/>
      <color theme="0"/>
      <name val="Arial"/>
      <family val="2"/>
      <charset val="204"/>
    </font>
    <font>
      <b/>
      <sz val="9"/>
      <color theme="0"/>
      <name val="Arial"/>
      <family val="2"/>
      <charset val="204"/>
    </font>
    <font>
      <b/>
      <sz val="7"/>
      <color theme="0"/>
      <name val="Arial"/>
      <family val="2"/>
      <charset val="204"/>
    </font>
    <font>
      <sz val="8"/>
      <color theme="0"/>
      <name val="Arial"/>
      <family val="2"/>
      <charset val="204"/>
    </font>
    <font>
      <sz val="8"/>
      <color theme="0"/>
      <name val="Arial Cyr"/>
      <family val="2"/>
      <charset val="204"/>
    </font>
    <font>
      <sz val="6"/>
      <color rgb="FF00B050"/>
      <name val="Arial"/>
      <family val="2"/>
      <charset val="204"/>
    </font>
    <font>
      <b/>
      <sz val="6"/>
      <color indexed="17"/>
      <name val="Arial Cyr"/>
      <charset val="204"/>
    </font>
    <font>
      <b/>
      <sz val="6"/>
      <color theme="0" tint="-0.499984740745262"/>
      <name val="Arial"/>
      <family val="2"/>
      <charset val="204"/>
    </font>
    <font>
      <u/>
      <sz val="6"/>
      <color theme="0" tint="-0.499984740745262"/>
      <name val="Arial Cyr"/>
      <family val="2"/>
      <charset val="204"/>
    </font>
    <font>
      <b/>
      <sz val="6"/>
      <color theme="0" tint="-0.499984740745262"/>
      <name val="Arial Cyr"/>
      <charset val="204"/>
    </font>
    <font>
      <sz val="6"/>
      <color rgb="FF0070C0"/>
      <name val="Arial"/>
      <family val="2"/>
      <charset val="204"/>
    </font>
    <font>
      <u/>
      <sz val="6"/>
      <color rgb="FF0070C0"/>
      <name val="Arial Cyr"/>
      <family val="2"/>
      <charset val="204"/>
    </font>
    <font>
      <sz val="6"/>
      <color rgb="FF0070C0"/>
      <name val="Arial Cyr"/>
      <charset val="204"/>
    </font>
    <font>
      <b/>
      <sz val="10"/>
      <color rgb="FFC00000"/>
      <name val="Arial"/>
      <family val="2"/>
      <charset val="204"/>
    </font>
    <font>
      <u/>
      <sz val="6"/>
      <color rgb="FF00B050"/>
      <name val="Arial Cyr"/>
      <family val="2"/>
      <charset val="204"/>
    </font>
    <font>
      <b/>
      <sz val="10"/>
      <color theme="0" tint="-0.249977111117893"/>
      <name val="Arial"/>
      <family val="2"/>
      <charset val="204"/>
    </font>
    <font>
      <b/>
      <sz val="10"/>
      <color theme="0" tint="-0.249977111117893"/>
      <name val="Arial Cyr"/>
      <charset val="204"/>
    </font>
    <font>
      <b/>
      <sz val="10"/>
      <color theme="0" tint="-0.249977111117893"/>
      <name val="Arial Cyr"/>
      <family val="2"/>
      <charset val="204"/>
    </font>
    <font>
      <b/>
      <sz val="8"/>
      <color indexed="30"/>
      <name val="Arial"/>
      <family val="2"/>
      <charset val="204"/>
    </font>
    <font>
      <b/>
      <sz val="10"/>
      <color rgb="FF92D050"/>
      <name val="Arial"/>
      <family val="2"/>
      <charset val="204"/>
    </font>
    <font>
      <sz val="8"/>
      <color rgb="FF92D050"/>
      <name val="Arial"/>
      <family val="2"/>
      <charset val="204"/>
    </font>
    <font>
      <b/>
      <sz val="9"/>
      <color rgb="FF92D050"/>
      <name val="Arial"/>
      <family val="2"/>
      <charset val="204"/>
    </font>
    <font>
      <b/>
      <sz val="8"/>
      <color rgb="FF92D050"/>
      <name val="Arial"/>
      <family val="2"/>
      <charset val="204"/>
    </font>
    <font>
      <b/>
      <sz val="12"/>
      <color rgb="FF92D050"/>
      <name val="Arial"/>
      <family val="2"/>
      <charset val="204"/>
    </font>
    <font>
      <b/>
      <sz val="10"/>
      <color rgb="FF92D050"/>
      <name val="Arial Cyr"/>
      <charset val="204"/>
    </font>
    <font>
      <b/>
      <sz val="9"/>
      <color indexed="81"/>
      <name val="Tahoma"/>
      <family val="2"/>
      <charset val="204"/>
    </font>
    <font>
      <b/>
      <sz val="16"/>
      <color theme="1"/>
      <name val="Times New Roman"/>
      <family val="1"/>
      <charset val="204"/>
    </font>
    <font>
      <sz val="12"/>
      <color theme="1"/>
      <name val="Calibri"/>
      <family val="2"/>
      <scheme val="minor"/>
    </font>
    <font>
      <sz val="14"/>
      <color theme="1"/>
      <name val="Times New Roman"/>
      <family val="1"/>
      <charset val="204"/>
    </font>
    <font>
      <sz val="12"/>
      <color theme="1"/>
      <name val="Times New Roman"/>
      <family val="1"/>
      <charset val="204"/>
    </font>
    <font>
      <sz val="14"/>
      <color rgb="FFC00000"/>
      <name val="Times New Roman"/>
      <family val="1"/>
      <charset val="204"/>
    </font>
    <font>
      <b/>
      <sz val="22"/>
      <color theme="1"/>
      <name val="Times New Roman"/>
      <family val="1"/>
      <charset val="204"/>
    </font>
    <font>
      <b/>
      <sz val="18"/>
      <color theme="1"/>
      <name val="Times New Roman"/>
      <family val="1"/>
      <charset val="204"/>
    </font>
    <font>
      <b/>
      <sz val="20"/>
      <color theme="1"/>
      <name val="Times New Roman"/>
      <family val="1"/>
      <charset val="204"/>
    </font>
    <font>
      <b/>
      <sz val="10"/>
      <color theme="1"/>
      <name val="Arial"/>
      <family val="2"/>
      <charset val="204"/>
    </font>
    <font>
      <b/>
      <sz val="10"/>
      <color theme="1"/>
      <name val="Arial Cyr"/>
      <family val="2"/>
      <charset val="204"/>
    </font>
    <font>
      <b/>
      <sz val="15"/>
      <color rgb="FFFF0000"/>
      <name val="Arial"/>
      <family val="2"/>
      <charset val="204"/>
    </font>
    <font>
      <b/>
      <sz val="10"/>
      <color rgb="FFFF0000"/>
      <name val="Arial Cyr"/>
      <charset val="204"/>
    </font>
    <font>
      <u/>
      <sz val="6"/>
      <color indexed="12"/>
      <name val="Arial Cyr"/>
      <family val="2"/>
      <charset val="204"/>
    </font>
    <font>
      <b/>
      <sz val="6"/>
      <color rgb="FF0070C0"/>
      <name val="Arial"/>
      <family val="2"/>
      <charset val="204"/>
    </font>
    <font>
      <sz val="9"/>
      <color indexed="81"/>
      <name val="Tahoma"/>
      <family val="2"/>
      <charset val="204"/>
    </font>
    <font>
      <b/>
      <sz val="6"/>
      <color theme="0" tint="-0.249977111117893"/>
      <name val="Arial"/>
      <family val="2"/>
      <charset val="204"/>
    </font>
    <font>
      <b/>
      <sz val="10"/>
      <color theme="0" tint="-0.34998626667073579"/>
      <name val="Arial"/>
      <family val="2"/>
      <charset val="204"/>
    </font>
    <font>
      <sz val="8"/>
      <color theme="2" tint="-0.749992370372631"/>
      <name val="Arial"/>
      <family val="2"/>
      <charset val="204"/>
    </font>
    <font>
      <sz val="7"/>
      <color theme="2" tint="-0.749992370372631"/>
      <name val="Arial"/>
      <family val="2"/>
      <charset val="204"/>
    </font>
    <font>
      <b/>
      <sz val="9"/>
      <color theme="2" tint="-0.749992370372631"/>
      <name val="Arial"/>
      <family val="2"/>
      <charset val="204"/>
    </font>
    <font>
      <sz val="8"/>
      <color theme="2" tint="-0.749992370372631"/>
      <name val="Arial Cyr"/>
      <charset val="204"/>
    </font>
    <font>
      <b/>
      <sz val="9"/>
      <color indexed="60"/>
      <name val="Arial"/>
      <family val="2"/>
      <charset val="204"/>
    </font>
    <font>
      <b/>
      <sz val="9"/>
      <color rgb="FFC00000"/>
      <name val="Arial"/>
      <family val="2"/>
      <charset val="204"/>
    </font>
    <font>
      <b/>
      <sz val="9"/>
      <color rgb="FF0070C0"/>
      <name val="Arial"/>
      <family val="2"/>
      <charset val="204"/>
    </font>
    <font>
      <sz val="8"/>
      <color theme="1"/>
      <name val="Arial"/>
      <family val="2"/>
      <charset val="204"/>
    </font>
    <font>
      <b/>
      <sz val="6"/>
      <color rgb="FF92D050"/>
      <name val="Arial"/>
      <family val="2"/>
      <charset val="204"/>
    </font>
    <font>
      <sz val="6"/>
      <color rgb="FF0070C0"/>
      <name val="Arial Cyr"/>
      <family val="2"/>
      <charset val="204"/>
    </font>
    <font>
      <sz val="7"/>
      <name val="Arial"/>
      <family val="2"/>
      <charset val="204"/>
    </font>
    <font>
      <sz val="8"/>
      <color indexed="8"/>
      <name val="Calibri"/>
      <family val="2"/>
      <charset val="204"/>
    </font>
    <font>
      <sz val="8"/>
      <name val="Calibri"/>
      <family val="2"/>
      <charset val="204"/>
    </font>
    <font>
      <sz val="8"/>
      <color rgb="FF0070C0"/>
      <name val="Calibri"/>
      <family val="2"/>
      <charset val="204"/>
      <scheme val="minor"/>
    </font>
    <font>
      <b/>
      <sz val="9"/>
      <color rgb="FF0070C0"/>
      <name val="Calibri"/>
      <family val="2"/>
      <charset val="204"/>
      <scheme val="minor"/>
    </font>
    <font>
      <b/>
      <sz val="10"/>
      <color indexed="60"/>
      <name val="Calibri"/>
      <family val="2"/>
      <charset val="204"/>
      <scheme val="minor"/>
    </font>
    <font>
      <sz val="7"/>
      <color rgb="FF0070C0"/>
      <name val="Arial"/>
      <family val="2"/>
      <charset val="204"/>
    </font>
    <font>
      <b/>
      <sz val="7"/>
      <color rgb="FF0070C0"/>
      <name val="Arial"/>
      <family val="2"/>
      <charset val="204"/>
    </font>
    <font>
      <u/>
      <sz val="7"/>
      <color rgb="FF0070C0"/>
      <name val="Arial Cyr"/>
      <family val="2"/>
      <charset val="204"/>
    </font>
    <font>
      <sz val="10"/>
      <color theme="0"/>
      <name val="Arial"/>
      <family val="2"/>
      <charset val="204"/>
    </font>
    <font>
      <b/>
      <sz val="10"/>
      <color theme="0"/>
      <name val="Times New Roman"/>
      <family val="1"/>
      <charset val="204"/>
    </font>
    <font>
      <sz val="10"/>
      <color theme="0"/>
      <name val="Times New Roman"/>
      <family val="1"/>
      <charset val="204"/>
    </font>
    <font>
      <sz val="7"/>
      <color rgb="FF0070C0"/>
      <name val="Arial Cyr"/>
      <family val="2"/>
      <charset val="204"/>
    </font>
    <font>
      <sz val="7"/>
      <color indexed="12"/>
      <name val="Arial Cyr"/>
      <family val="2"/>
      <charset val="204"/>
    </font>
    <font>
      <sz val="7"/>
      <color theme="0"/>
      <name val="Arial"/>
      <family val="2"/>
      <charset val="204"/>
    </font>
    <font>
      <sz val="8"/>
      <color theme="0"/>
      <name val="Calibri"/>
      <family val="2"/>
      <charset val="204"/>
      <scheme val="minor"/>
    </font>
    <font>
      <sz val="8"/>
      <color theme="0"/>
      <name val="Calibri"/>
      <family val="2"/>
      <charset val="204"/>
    </font>
    <font>
      <sz val="11"/>
      <color theme="0"/>
      <name val="Calibri"/>
      <family val="2"/>
      <charset val="204"/>
    </font>
    <font>
      <b/>
      <sz val="6"/>
      <color theme="0"/>
      <name val="Arial"/>
      <family val="2"/>
      <charset val="204"/>
    </font>
    <font>
      <u/>
      <sz val="7"/>
      <color rgb="FF0070C0"/>
      <name val="Arial"/>
      <family val="2"/>
      <charset val="204"/>
    </font>
    <font>
      <sz val="7"/>
      <color theme="2" tint="-0.749992370372631"/>
      <name val="Arial Narrow"/>
      <family val="2"/>
      <charset val="204"/>
    </font>
    <font>
      <sz val="7"/>
      <color theme="1"/>
      <name val="Arial"/>
      <family val="2"/>
      <charset val="204"/>
    </font>
    <font>
      <b/>
      <sz val="8"/>
      <color theme="2" tint="-0.749992370372631"/>
      <name val="Arial"/>
      <family val="2"/>
      <charset val="204"/>
    </font>
    <font>
      <b/>
      <sz val="12"/>
      <color rgb="FFFF0000"/>
      <name val="Arial"/>
      <family val="2"/>
      <charset val="204"/>
    </font>
    <font>
      <sz val="7"/>
      <color rgb="FF00B050"/>
      <name val="Arial"/>
      <family val="2"/>
      <charset val="204"/>
    </font>
    <font>
      <sz val="8"/>
      <color rgb="FF00B050"/>
      <name val="Arial"/>
      <family val="2"/>
      <charset val="204"/>
    </font>
    <font>
      <sz val="8"/>
      <name val="Calibri"/>
      <family val="2"/>
      <charset val="204"/>
      <scheme val="minor"/>
    </font>
    <font>
      <u/>
      <sz val="6"/>
      <name val="Arial Cyr"/>
      <family val="2"/>
      <charset val="204"/>
    </font>
    <font>
      <b/>
      <sz val="10"/>
      <color theme="0"/>
      <name val="Arial Cyr"/>
      <family val="2"/>
      <charset val="204"/>
    </font>
    <font>
      <b/>
      <sz val="8"/>
      <name val="Calibri"/>
      <family val="2"/>
      <charset val="204"/>
      <scheme val="minor"/>
    </font>
    <font>
      <sz val="8"/>
      <color indexed="8"/>
      <name val="Calibri"/>
      <family val="2"/>
      <charset val="204"/>
      <scheme val="minor"/>
    </font>
    <font>
      <u/>
      <sz val="10"/>
      <color rgb="FF0070C0"/>
      <name val="Arial Cyr"/>
      <family val="2"/>
      <charset val="204"/>
    </font>
    <font>
      <b/>
      <sz val="10"/>
      <color theme="0"/>
      <name val="Arial Cyr"/>
      <charset val="204"/>
    </font>
    <font>
      <sz val="10"/>
      <color theme="0"/>
      <name val="Arial Cyr"/>
      <charset val="204"/>
    </font>
    <font>
      <b/>
      <sz val="10"/>
      <name val="Calibri"/>
      <family val="2"/>
      <charset val="204"/>
      <scheme val="minor"/>
    </font>
    <font>
      <b/>
      <sz val="11"/>
      <color rgb="FFFF0000"/>
      <name val="Arial"/>
      <family val="2"/>
      <charset val="204"/>
    </font>
    <font>
      <u/>
      <sz val="7"/>
      <name val="Arial Cyr"/>
      <family val="2"/>
      <charset val="204"/>
    </font>
    <font>
      <b/>
      <sz val="10"/>
      <color rgb="FF2C2D2E"/>
      <name val="Arial"/>
      <family val="2"/>
      <charset val="204"/>
    </font>
    <font>
      <b/>
      <sz val="10"/>
      <color rgb="FF000000"/>
      <name val="Arial"/>
    </font>
    <font>
      <b/>
      <sz val="10"/>
      <color rgb="FFFF0000"/>
      <name val="Arial"/>
    </font>
    <font>
      <b/>
      <sz val="10"/>
      <name val="Arial"/>
    </font>
  </fonts>
  <fills count="34">
    <fill>
      <patternFill patternType="none"/>
    </fill>
    <fill>
      <patternFill patternType="gray125"/>
    </fill>
    <fill>
      <patternFill patternType="solid">
        <fgColor indexed="34"/>
        <bgColor indexed="13"/>
      </patternFill>
    </fill>
    <fill>
      <patternFill patternType="solid">
        <fgColor indexed="43"/>
        <bgColor indexed="26"/>
      </patternFill>
    </fill>
    <fill>
      <patternFill patternType="solid">
        <fgColor indexed="9"/>
        <bgColor indexed="26"/>
      </patternFill>
    </fill>
    <fill>
      <patternFill patternType="solid">
        <fgColor indexed="47"/>
        <bgColor indexed="34"/>
      </patternFill>
    </fill>
    <fill>
      <patternFill patternType="solid">
        <fgColor indexed="22"/>
        <bgColor indexed="31"/>
      </patternFill>
    </fill>
    <fill>
      <patternFill patternType="solid">
        <fgColor indexed="45"/>
        <bgColor indexed="29"/>
      </patternFill>
    </fill>
    <fill>
      <patternFill patternType="solid">
        <fgColor indexed="13"/>
        <bgColor indexed="34"/>
      </patternFill>
    </fill>
    <fill>
      <patternFill patternType="solid">
        <fgColor indexed="53"/>
        <bgColor indexed="52"/>
      </patternFill>
    </fill>
    <fill>
      <patternFill patternType="solid">
        <fgColor indexed="42"/>
        <bgColor indexed="27"/>
      </patternFill>
    </fill>
    <fill>
      <patternFill patternType="solid">
        <fgColor theme="4" tint="0.79998168889431442"/>
        <bgColor indexed="64"/>
      </patternFill>
    </fill>
    <fill>
      <patternFill patternType="solid">
        <fgColor theme="0"/>
        <bgColor indexed="13"/>
      </patternFill>
    </fill>
    <fill>
      <patternFill patternType="solid">
        <fgColor theme="0"/>
        <bgColor indexed="64"/>
      </patternFill>
    </fill>
    <fill>
      <patternFill patternType="solid">
        <fgColor rgb="FFFFFF99"/>
        <bgColor indexed="26"/>
      </patternFill>
    </fill>
    <fill>
      <patternFill patternType="solid">
        <fgColor rgb="FFFFFF99"/>
        <bgColor indexed="13"/>
      </patternFill>
    </fill>
    <fill>
      <patternFill patternType="solid">
        <fgColor theme="0"/>
        <bgColor indexed="26"/>
      </patternFill>
    </fill>
    <fill>
      <patternFill patternType="solid">
        <fgColor rgb="FFE6E64C"/>
        <bgColor indexed="13"/>
      </patternFill>
    </fill>
    <fill>
      <patternFill patternType="solid">
        <fgColor rgb="FFE6E64C"/>
        <bgColor indexed="64"/>
      </patternFill>
    </fill>
    <fill>
      <patternFill patternType="solid">
        <fgColor rgb="FFE6E64C"/>
        <bgColor indexed="26"/>
      </patternFill>
    </fill>
    <fill>
      <patternFill patternType="solid">
        <fgColor rgb="FFCCFFCC"/>
        <bgColor indexed="64"/>
      </patternFill>
    </fill>
    <fill>
      <patternFill patternType="solid">
        <fgColor rgb="FFFFFF00"/>
        <bgColor indexed="64"/>
      </patternFill>
    </fill>
    <fill>
      <patternFill patternType="solid">
        <fgColor theme="3" tint="0.59999389629810485"/>
        <bgColor indexed="26"/>
      </patternFill>
    </fill>
    <fill>
      <patternFill patternType="solid">
        <fgColor rgb="FFFFFF66"/>
        <bgColor indexed="13"/>
      </patternFill>
    </fill>
    <fill>
      <patternFill patternType="solid">
        <fgColor rgb="FFFFFFCC"/>
        <bgColor indexed="26"/>
      </patternFill>
    </fill>
    <fill>
      <patternFill patternType="solid">
        <fgColor theme="0" tint="-4.9989318521683403E-2"/>
        <bgColor indexed="13"/>
      </patternFill>
    </fill>
    <fill>
      <patternFill patternType="solid">
        <fgColor theme="0" tint="-4.9989318521683403E-2"/>
        <bgColor indexed="64"/>
      </patternFill>
    </fill>
    <fill>
      <patternFill patternType="solid">
        <fgColor theme="0" tint="-4.9989318521683403E-2"/>
        <bgColor indexed="26"/>
      </patternFill>
    </fill>
    <fill>
      <patternFill patternType="solid">
        <fgColor theme="6" tint="0.79998168889431442"/>
        <bgColor indexed="64"/>
      </patternFill>
    </fill>
    <fill>
      <patternFill patternType="solid">
        <fgColor theme="5" tint="0.79998168889431442"/>
        <bgColor indexed="64"/>
      </patternFill>
    </fill>
    <fill>
      <patternFill patternType="solid">
        <fgColor theme="5" tint="0.39997558519241921"/>
        <bgColor indexed="64"/>
      </patternFill>
    </fill>
    <fill>
      <patternFill patternType="solid">
        <fgColor theme="5" tint="0.59999389629810485"/>
        <bgColor indexed="64"/>
      </patternFill>
    </fill>
    <fill>
      <patternFill patternType="solid">
        <fgColor rgb="FFE3E74B"/>
        <bgColor indexed="64"/>
      </patternFill>
    </fill>
    <fill>
      <patternFill patternType="solid">
        <fgColor rgb="FFE3E74B"/>
        <bgColor indexed="13"/>
      </patternFill>
    </fill>
  </fills>
  <borders count="41">
    <border>
      <left/>
      <right/>
      <top/>
      <bottom/>
      <diagonal/>
    </border>
    <border>
      <left style="thin">
        <color indexed="8"/>
      </left>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thin">
        <color indexed="8"/>
      </left>
      <right style="thin">
        <color indexed="8"/>
      </right>
      <top/>
      <bottom/>
      <diagonal/>
    </border>
    <border>
      <left style="thin">
        <color indexed="8"/>
      </left>
      <right style="thin">
        <color indexed="8"/>
      </right>
      <top style="thin">
        <color indexed="8"/>
      </top>
      <bottom/>
      <diagonal/>
    </border>
    <border>
      <left style="thin">
        <color indexed="8"/>
      </left>
      <right/>
      <top/>
      <bottom/>
      <diagonal/>
    </border>
    <border>
      <left/>
      <right style="thin">
        <color indexed="8"/>
      </right>
      <top style="thin">
        <color indexed="8"/>
      </top>
      <bottom style="thin">
        <color indexed="8"/>
      </bottom>
      <diagonal/>
    </border>
    <border>
      <left/>
      <right style="thin">
        <color indexed="8"/>
      </right>
      <top style="thin">
        <color indexed="8"/>
      </top>
      <bottom/>
      <diagonal/>
    </border>
    <border>
      <left style="thin">
        <color indexed="8"/>
      </left>
      <right/>
      <top/>
      <bottom style="thin">
        <color indexed="8"/>
      </bottom>
      <diagonal/>
    </border>
    <border>
      <left/>
      <right/>
      <top style="medium">
        <color indexed="8"/>
      </top>
      <bottom/>
      <diagonal/>
    </border>
    <border>
      <left/>
      <right/>
      <top/>
      <bottom style="thin">
        <color indexed="23"/>
      </bottom>
      <diagonal/>
    </border>
    <border>
      <left/>
      <right/>
      <top style="thin">
        <color indexed="23"/>
      </top>
      <bottom style="thin">
        <color indexed="23"/>
      </bottom>
      <diagonal/>
    </border>
    <border>
      <left/>
      <right/>
      <top style="thin">
        <color indexed="23"/>
      </top>
      <bottom/>
      <diagonal/>
    </border>
    <border>
      <left style="medium">
        <color indexed="8"/>
      </left>
      <right style="medium">
        <color indexed="8"/>
      </right>
      <top style="medium">
        <color indexed="8"/>
      </top>
      <bottom style="medium">
        <color indexed="8"/>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23"/>
      </left>
      <right/>
      <top style="thin">
        <color indexed="23"/>
      </top>
      <bottom style="thin">
        <color indexed="8"/>
      </bottom>
      <diagonal/>
    </border>
    <border>
      <left style="thin">
        <color indexed="8"/>
      </left>
      <right/>
      <top style="medium">
        <color indexed="8"/>
      </top>
      <bottom style="medium">
        <color indexed="8"/>
      </bottom>
      <diagonal/>
    </border>
    <border>
      <left style="thin">
        <color indexed="8"/>
      </left>
      <right/>
      <top style="medium">
        <color indexed="8"/>
      </top>
      <bottom style="thin">
        <color indexed="23"/>
      </bottom>
      <diagonal/>
    </border>
    <border>
      <left style="thin">
        <color indexed="8"/>
      </left>
      <right/>
      <top style="medium">
        <color indexed="8"/>
      </top>
      <bottom style="thin">
        <color indexed="8"/>
      </bottom>
      <diagonal/>
    </border>
    <border>
      <left style="thin">
        <color indexed="8"/>
      </left>
      <right/>
      <top style="thin">
        <color indexed="23"/>
      </top>
      <bottom style="thin">
        <color indexed="23"/>
      </bottom>
      <diagonal/>
    </border>
    <border>
      <left style="thin">
        <color indexed="8"/>
      </left>
      <right/>
      <top/>
      <bottom style="thin">
        <color indexed="23"/>
      </bottom>
      <diagonal/>
    </border>
    <border>
      <left style="thin">
        <color indexed="8"/>
      </left>
      <right/>
      <top style="thin">
        <color indexed="23"/>
      </top>
      <bottom/>
      <diagonal/>
    </border>
    <border>
      <left style="thin">
        <color indexed="8"/>
      </left>
      <right style="thin">
        <color indexed="8"/>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s>
  <cellStyleXfs count="3">
    <xf numFmtId="0" fontId="0" fillId="0" borderId="0"/>
    <xf numFmtId="0" fontId="37" fillId="0" borderId="0" applyNumberFormat="0" applyFill="0" applyBorder="0" applyAlignment="0" applyProtection="0"/>
    <xf numFmtId="0" fontId="1" fillId="0" borderId="0"/>
  </cellStyleXfs>
  <cellXfs count="1113">
    <xf numFmtId="0" fontId="0" fillId="0" borderId="0" xfId="0"/>
    <xf numFmtId="0" fontId="6" fillId="0" borderId="0" xfId="0" applyFont="1" applyAlignment="1">
      <alignment horizontal="right"/>
    </xf>
    <xf numFmtId="0" fontId="8" fillId="0" borderId="0" xfId="0" applyFont="1" applyAlignment="1">
      <alignment horizontal="right"/>
    </xf>
    <xf numFmtId="0" fontId="4" fillId="0" borderId="0" xfId="0" applyFont="1" applyAlignment="1">
      <alignment horizontal="center"/>
    </xf>
    <xf numFmtId="0" fontId="4" fillId="0" borderId="0" xfId="0" applyFont="1"/>
    <xf numFmtId="0" fontId="15" fillId="0" borderId="0" xfId="0" applyFont="1"/>
    <xf numFmtId="0" fontId="3" fillId="0" borderId="0" xfId="0" applyFont="1" applyAlignment="1">
      <alignment horizontal="center" vertical="center"/>
    </xf>
    <xf numFmtId="0" fontId="5" fillId="0" borderId="0" xfId="0" applyFont="1" applyAlignment="1">
      <alignment horizontal="center" vertical="center"/>
    </xf>
    <xf numFmtId="1" fontId="8" fillId="0" borderId="0" xfId="0" applyNumberFormat="1" applyFont="1" applyAlignment="1">
      <alignment horizontal="right"/>
    </xf>
    <xf numFmtId="0" fontId="6" fillId="0" borderId="0" xfId="0" applyFont="1" applyAlignment="1">
      <alignment horizontal="center"/>
    </xf>
    <xf numFmtId="0" fontId="24" fillId="0" borderId="0" xfId="0" applyFont="1"/>
    <xf numFmtId="0" fontId="11" fillId="0" borderId="0" xfId="0" applyFont="1" applyAlignment="1">
      <alignment horizontal="center"/>
    </xf>
    <xf numFmtId="0" fontId="21" fillId="0" borderId="0" xfId="0" applyFont="1" applyAlignment="1">
      <alignment horizontal="center"/>
    </xf>
    <xf numFmtId="2" fontId="11" fillId="0" borderId="0" xfId="0" applyNumberFormat="1" applyFont="1" applyAlignment="1">
      <alignment horizontal="center"/>
    </xf>
    <xf numFmtId="0" fontId="0" fillId="0" borderId="0" xfId="0" applyAlignment="1">
      <alignment wrapText="1"/>
    </xf>
    <xf numFmtId="0" fontId="6" fillId="0" borderId="5" xfId="0" applyFont="1" applyBorder="1" applyAlignment="1">
      <alignment horizontal="right" wrapText="1"/>
    </xf>
    <xf numFmtId="0" fontId="4" fillId="4" borderId="2" xfId="0" applyFont="1" applyFill="1" applyBorder="1" applyAlignment="1">
      <alignment vertical="center" wrapText="1"/>
    </xf>
    <xf numFmtId="0" fontId="10" fillId="4" borderId="0" xfId="0" applyFont="1" applyFill="1" applyAlignment="1">
      <alignment horizontal="center"/>
    </xf>
    <xf numFmtId="0" fontId="4" fillId="0" borderId="2" xfId="0" applyFont="1" applyBorder="1" applyAlignment="1">
      <alignment horizontal="center"/>
    </xf>
    <xf numFmtId="0" fontId="4" fillId="0" borderId="4" xfId="0" applyFont="1" applyBorder="1" applyAlignment="1">
      <alignment vertical="center" wrapText="1"/>
    </xf>
    <xf numFmtId="0" fontId="43" fillId="4" borderId="2" xfId="0" applyFont="1" applyFill="1" applyBorder="1" applyAlignment="1">
      <alignment horizontal="center"/>
    </xf>
    <xf numFmtId="0" fontId="15" fillId="0" borderId="0" xfId="0" applyFont="1" applyAlignment="1">
      <alignment horizontal="center"/>
    </xf>
    <xf numFmtId="0" fontId="43" fillId="0" borderId="2" xfId="0" applyFont="1" applyBorder="1" applyAlignment="1">
      <alignment horizontal="center"/>
    </xf>
    <xf numFmtId="0" fontId="43" fillId="5" borderId="2" xfId="0" applyFont="1" applyFill="1" applyBorder="1" applyAlignment="1">
      <alignment horizontal="center"/>
    </xf>
    <xf numFmtId="0" fontId="15" fillId="0" borderId="2" xfId="0" applyFont="1" applyBorder="1" applyAlignment="1">
      <alignment horizontal="center"/>
    </xf>
    <xf numFmtId="0" fontId="43" fillId="6" borderId="2" xfId="0" applyFont="1" applyFill="1" applyBorder="1" applyAlignment="1">
      <alignment horizontal="center"/>
    </xf>
    <xf numFmtId="0" fontId="43" fillId="7" borderId="2" xfId="0" applyFont="1" applyFill="1" applyBorder="1" applyAlignment="1">
      <alignment horizontal="center"/>
    </xf>
    <xf numFmtId="0" fontId="43" fillId="2" borderId="2" xfId="0" applyFont="1" applyFill="1" applyBorder="1" applyAlignment="1">
      <alignment horizontal="center"/>
    </xf>
    <xf numFmtId="0" fontId="44" fillId="0" borderId="2" xfId="0" applyFont="1" applyBorder="1" applyAlignment="1">
      <alignment horizontal="center"/>
    </xf>
    <xf numFmtId="0" fontId="4" fillId="0" borderId="2" xfId="0" applyFont="1" applyBorder="1" applyAlignment="1">
      <alignment vertical="center" wrapText="1"/>
    </xf>
    <xf numFmtId="0" fontId="4" fillId="4" borderId="3" xfId="0" applyFont="1" applyFill="1" applyBorder="1" applyAlignment="1">
      <alignment vertical="center" wrapText="1"/>
    </xf>
    <xf numFmtId="0" fontId="4" fillId="4" borderId="2" xfId="0" applyFont="1" applyFill="1" applyBorder="1" applyAlignment="1">
      <alignment vertical="center"/>
    </xf>
    <xf numFmtId="0" fontId="4" fillId="4" borderId="0" xfId="0" applyFont="1" applyFill="1"/>
    <xf numFmtId="0" fontId="4" fillId="0" borderId="2" xfId="0" applyFont="1" applyBorder="1" applyAlignment="1">
      <alignment horizontal="center" vertical="center"/>
    </xf>
    <xf numFmtId="0" fontId="4" fillId="0" borderId="3" xfId="0" applyFont="1" applyBorder="1" applyAlignment="1">
      <alignment vertical="center" wrapText="1"/>
    </xf>
    <xf numFmtId="0" fontId="4" fillId="0" borderId="2" xfId="0" applyFont="1" applyBorder="1" applyAlignment="1">
      <alignment horizontal="left" vertical="center" wrapText="1"/>
    </xf>
    <xf numFmtId="0" fontId="6" fillId="0" borderId="2" xfId="0" applyFont="1" applyBorder="1" applyAlignment="1">
      <alignment vertical="center" wrapText="1"/>
    </xf>
    <xf numFmtId="0" fontId="4" fillId="4" borderId="0" xfId="0" applyFont="1" applyFill="1" applyAlignment="1">
      <alignment horizontal="right" vertical="center"/>
    </xf>
    <xf numFmtId="0" fontId="4" fillId="0" borderId="2" xfId="0" applyFont="1" applyBorder="1" applyAlignment="1">
      <alignment vertical="center"/>
    </xf>
    <xf numFmtId="0" fontId="40" fillId="0" borderId="2" xfId="0" applyFont="1" applyBorder="1" applyAlignment="1">
      <alignment vertical="center" wrapText="1"/>
    </xf>
    <xf numFmtId="0" fontId="6" fillId="0" borderId="2" xfId="0" applyFont="1" applyBorder="1" applyAlignment="1">
      <alignment horizontal="center" vertical="center" wrapText="1"/>
    </xf>
    <xf numFmtId="0" fontId="4" fillId="0" borderId="0" xfId="0" applyFont="1" applyAlignment="1">
      <alignment horizontal="center" vertical="center"/>
    </xf>
    <xf numFmtId="0" fontId="10" fillId="0" borderId="0" xfId="0" applyFont="1" applyAlignment="1">
      <alignment horizontal="center"/>
    </xf>
    <xf numFmtId="0" fontId="59" fillId="0" borderId="0" xfId="0" applyFont="1" applyAlignment="1">
      <alignment horizontal="right"/>
    </xf>
    <xf numFmtId="0" fontId="60" fillId="0" borderId="0" xfId="0" applyFont="1" applyAlignment="1">
      <alignment horizontal="right"/>
    </xf>
    <xf numFmtId="0" fontId="61" fillId="0" borderId="0" xfId="0" applyFont="1" applyAlignment="1">
      <alignment horizontal="right"/>
    </xf>
    <xf numFmtId="0" fontId="62" fillId="0" borderId="0" xfId="0" applyFont="1" applyAlignment="1">
      <alignment horizontal="right"/>
    </xf>
    <xf numFmtId="1" fontId="25" fillId="0" borderId="0" xfId="0" applyNumberFormat="1" applyFont="1" applyAlignment="1">
      <alignment horizontal="right"/>
    </xf>
    <xf numFmtId="0" fontId="7" fillId="0" borderId="0" xfId="0" applyFont="1" applyAlignment="1">
      <alignment horizontal="center"/>
    </xf>
    <xf numFmtId="0" fontId="63" fillId="0" borderId="0" xfId="0" applyFont="1" applyAlignment="1">
      <alignment horizontal="right"/>
    </xf>
    <xf numFmtId="0" fontId="65" fillId="0" borderId="0" xfId="0" applyFont="1" applyAlignment="1">
      <alignment horizontal="right"/>
    </xf>
    <xf numFmtId="0" fontId="66" fillId="0" borderId="0" xfId="0" applyFont="1"/>
    <xf numFmtId="1" fontId="64" fillId="0" borderId="0" xfId="0" applyNumberFormat="1" applyFont="1" applyAlignment="1">
      <alignment horizontal="right"/>
    </xf>
    <xf numFmtId="0" fontId="16" fillId="0" borderId="10" xfId="0" applyFont="1" applyBorder="1" applyAlignment="1">
      <alignment horizontal="right" vertical="center"/>
    </xf>
    <xf numFmtId="0" fontId="0" fillId="0" borderId="11" xfId="0" applyBorder="1" applyAlignment="1">
      <alignment horizontal="right" vertical="center"/>
    </xf>
    <xf numFmtId="0" fontId="0" fillId="0" borderId="12" xfId="0" applyBorder="1" applyAlignment="1">
      <alignment horizontal="right" vertical="center"/>
    </xf>
    <xf numFmtId="0" fontId="16" fillId="0" borderId="13" xfId="0" applyFont="1" applyBorder="1" applyAlignment="1">
      <alignment horizontal="right" vertical="center" wrapText="1"/>
    </xf>
    <xf numFmtId="0" fontId="4" fillId="10" borderId="2" xfId="0" applyFont="1" applyFill="1" applyBorder="1" applyAlignment="1">
      <alignment horizontal="left" vertical="center" wrapText="1"/>
    </xf>
    <xf numFmtId="0" fontId="4" fillId="10" borderId="2" xfId="0" applyFont="1" applyFill="1" applyBorder="1" applyAlignment="1">
      <alignment horizontal="left" vertical="center"/>
    </xf>
    <xf numFmtId="0" fontId="4" fillId="10" borderId="2" xfId="0" applyFont="1" applyFill="1" applyBorder="1" applyAlignment="1">
      <alignment vertical="center" wrapText="1"/>
    </xf>
    <xf numFmtId="0" fontId="4" fillId="10" borderId="3" xfId="0" applyFont="1" applyFill="1" applyBorder="1" applyAlignment="1">
      <alignment horizontal="left" vertical="center" wrapText="1"/>
    </xf>
    <xf numFmtId="0" fontId="40" fillId="10" borderId="2" xfId="0" applyFont="1" applyFill="1" applyBorder="1" applyAlignment="1">
      <alignment vertical="center" wrapText="1"/>
    </xf>
    <xf numFmtId="0" fontId="4" fillId="3" borderId="2" xfId="0" applyFont="1" applyFill="1" applyBorder="1" applyAlignment="1">
      <alignment vertical="center"/>
    </xf>
    <xf numFmtId="0" fontId="42" fillId="0" borderId="0" xfId="0" applyFont="1"/>
    <xf numFmtId="0" fontId="2" fillId="0" borderId="0" xfId="0" applyFont="1"/>
    <xf numFmtId="0" fontId="71" fillId="0" borderId="0" xfId="0" applyFont="1" applyAlignment="1">
      <alignment vertical="center" wrapText="1"/>
    </xf>
    <xf numFmtId="0" fontId="15" fillId="0" borderId="0" xfId="0" applyFont="1" applyAlignment="1">
      <alignment horizontal="left" vertical="center"/>
    </xf>
    <xf numFmtId="0" fontId="4" fillId="3" borderId="2" xfId="0" applyFont="1" applyFill="1" applyBorder="1" applyAlignment="1">
      <alignment vertical="center" wrapText="1"/>
    </xf>
    <xf numFmtId="0" fontId="15" fillId="0" borderId="0" xfId="0" applyFont="1" applyAlignment="1">
      <alignment vertical="center" wrapText="1"/>
    </xf>
    <xf numFmtId="0" fontId="4" fillId="5" borderId="2" xfId="0" applyFont="1" applyFill="1" applyBorder="1" applyAlignment="1">
      <alignment vertical="center" wrapText="1"/>
    </xf>
    <xf numFmtId="0" fontId="40" fillId="0" borderId="0" xfId="0" applyFont="1" applyAlignment="1">
      <alignment horizontal="center"/>
    </xf>
    <xf numFmtId="0" fontId="0" fillId="0" borderId="2" xfId="0" applyBorder="1" applyAlignment="1">
      <alignment horizontal="center"/>
    </xf>
    <xf numFmtId="0" fontId="40" fillId="0" borderId="2" xfId="0" applyFont="1" applyBorder="1" applyAlignment="1">
      <alignment horizontal="center"/>
    </xf>
    <xf numFmtId="0" fontId="71" fillId="0" borderId="2" xfId="0" applyFont="1" applyBorder="1" applyAlignment="1">
      <alignment horizontal="center"/>
    </xf>
    <xf numFmtId="0" fontId="0" fillId="0" borderId="2" xfId="0" applyBorder="1" applyAlignment="1">
      <alignment horizontal="center" wrapText="1"/>
    </xf>
    <xf numFmtId="0" fontId="0" fillId="0" borderId="0" xfId="0" applyAlignment="1">
      <alignment horizontal="center"/>
    </xf>
    <xf numFmtId="0" fontId="40" fillId="4" borderId="2" xfId="0" applyFont="1" applyFill="1" applyBorder="1" applyAlignment="1">
      <alignment horizontal="center"/>
    </xf>
    <xf numFmtId="0" fontId="0" fillId="0" borderId="0" xfId="0" applyAlignment="1">
      <alignment horizontal="left"/>
    </xf>
    <xf numFmtId="0" fontId="15" fillId="5" borderId="2" xfId="0" applyFont="1" applyFill="1" applyBorder="1" applyAlignment="1">
      <alignment horizontal="center"/>
    </xf>
    <xf numFmtId="0" fontId="14" fillId="4" borderId="2" xfId="0" applyFont="1" applyFill="1" applyBorder="1" applyAlignment="1">
      <alignment horizontal="center"/>
    </xf>
    <xf numFmtId="0" fontId="55" fillId="0" borderId="0" xfId="0" applyFont="1"/>
    <xf numFmtId="0" fontId="15" fillId="9" borderId="2" xfId="0" applyFont="1" applyFill="1" applyBorder="1" applyAlignment="1">
      <alignment horizontal="center"/>
    </xf>
    <xf numFmtId="0" fontId="71" fillId="4" borderId="2" xfId="0" applyFont="1" applyFill="1" applyBorder="1" applyAlignment="1">
      <alignment horizontal="center"/>
    </xf>
    <xf numFmtId="0" fontId="0" fillId="4" borderId="2" xfId="0" applyFill="1" applyBorder="1" applyAlignment="1">
      <alignment horizontal="center"/>
    </xf>
    <xf numFmtId="0" fontId="71" fillId="0" borderId="5" xfId="0" applyFont="1" applyBorder="1" applyAlignment="1">
      <alignment horizontal="center"/>
    </xf>
    <xf numFmtId="0" fontId="43" fillId="4" borderId="1" xfId="0" applyFont="1" applyFill="1" applyBorder="1" applyAlignment="1">
      <alignment horizontal="center"/>
    </xf>
    <xf numFmtId="0" fontId="43" fillId="2" borderId="14" xfId="0" applyFont="1" applyFill="1" applyBorder="1" applyAlignment="1">
      <alignment horizontal="center"/>
    </xf>
    <xf numFmtId="0" fontId="43" fillId="4" borderId="7" xfId="0" applyFont="1" applyFill="1" applyBorder="1" applyAlignment="1">
      <alignment horizontal="center"/>
    </xf>
    <xf numFmtId="0" fontId="43" fillId="0" borderId="0" xfId="0" applyFont="1" applyAlignment="1">
      <alignment horizontal="left"/>
    </xf>
    <xf numFmtId="0" fontId="40" fillId="0" borderId="3" xfId="0" applyFont="1" applyBorder="1" applyAlignment="1">
      <alignment horizontal="center"/>
    </xf>
    <xf numFmtId="0" fontId="43" fillId="0" borderId="5" xfId="0" applyFont="1" applyBorder="1" applyAlignment="1">
      <alignment horizontal="center"/>
    </xf>
    <xf numFmtId="0" fontId="43" fillId="0" borderId="14" xfId="0" applyFont="1" applyBorder="1" applyAlignment="1">
      <alignment horizontal="center"/>
    </xf>
    <xf numFmtId="0" fontId="43" fillId="0" borderId="3" xfId="0" applyFont="1" applyBorder="1" applyAlignment="1">
      <alignment horizontal="center"/>
    </xf>
    <xf numFmtId="0" fontId="15" fillId="4" borderId="2" xfId="0" applyFont="1" applyFill="1" applyBorder="1" applyAlignment="1">
      <alignment horizontal="center"/>
    </xf>
    <xf numFmtId="0" fontId="15" fillId="6" borderId="2" xfId="0" applyFont="1" applyFill="1" applyBorder="1" applyAlignment="1">
      <alignment horizontal="center"/>
    </xf>
    <xf numFmtId="0" fontId="37" fillId="0" borderId="0" xfId="1" applyNumberFormat="1" applyFill="1" applyBorder="1" applyAlignment="1" applyProtection="1"/>
    <xf numFmtId="0" fontId="40" fillId="0" borderId="0" xfId="0" applyFont="1" applyAlignment="1">
      <alignment wrapText="1"/>
    </xf>
    <xf numFmtId="0" fontId="40" fillId="0" borderId="0" xfId="0" applyFont="1"/>
    <xf numFmtId="0" fontId="37" fillId="0" borderId="0" xfId="1" applyNumberFormat="1" applyFill="1" applyBorder="1" applyAlignment="1" applyProtection="1">
      <alignment vertical="center" wrapText="1"/>
    </xf>
    <xf numFmtId="0" fontId="4" fillId="0" borderId="3" xfId="0" applyFont="1" applyBorder="1" applyAlignment="1">
      <alignment horizontal="left" vertical="center" wrapText="1"/>
    </xf>
    <xf numFmtId="0" fontId="3" fillId="0" borderId="15" xfId="0" applyFont="1" applyBorder="1" applyAlignment="1">
      <alignment horizontal="center" vertical="center"/>
    </xf>
    <xf numFmtId="0" fontId="5" fillId="0" borderId="15" xfId="0" applyFont="1" applyBorder="1" applyAlignment="1">
      <alignment horizontal="center" vertical="center"/>
    </xf>
    <xf numFmtId="0" fontId="6" fillId="0" borderId="15" xfId="0" applyFont="1" applyBorder="1" applyAlignment="1">
      <alignment horizontal="center"/>
    </xf>
    <xf numFmtId="0" fontId="6" fillId="0" borderId="15" xfId="0" applyFont="1" applyBorder="1"/>
    <xf numFmtId="1" fontId="6" fillId="0" borderId="15" xfId="0" applyNumberFormat="1" applyFont="1" applyBorder="1" applyAlignment="1">
      <alignment horizontal="right" wrapText="1"/>
    </xf>
    <xf numFmtId="1" fontId="19" fillId="0" borderId="15" xfId="0" applyNumberFormat="1" applyFont="1" applyBorder="1" applyAlignment="1">
      <alignment horizontal="right"/>
    </xf>
    <xf numFmtId="164" fontId="19" fillId="0" borderId="15" xfId="0" applyNumberFormat="1" applyFont="1" applyBorder="1" applyAlignment="1">
      <alignment horizontal="right"/>
    </xf>
    <xf numFmtId="1" fontId="33" fillId="2" borderId="15" xfId="0" applyNumberFormat="1" applyFont="1" applyFill="1" applyBorder="1" applyAlignment="1">
      <alignment horizontal="right" wrapText="1"/>
    </xf>
    <xf numFmtId="0" fontId="3" fillId="0" borderId="15" xfId="0" applyFont="1" applyBorder="1" applyAlignment="1">
      <alignment horizontal="center" vertical="center" wrapText="1"/>
    </xf>
    <xf numFmtId="0" fontId="4" fillId="0" borderId="15" xfId="0" applyFont="1" applyBorder="1" applyAlignment="1">
      <alignment vertical="center" wrapText="1"/>
    </xf>
    <xf numFmtId="0" fontId="5" fillId="0" borderId="15" xfId="0" applyFont="1" applyBorder="1" applyAlignment="1">
      <alignment horizontal="center" vertical="center" wrapText="1"/>
    </xf>
    <xf numFmtId="0" fontId="6" fillId="0" borderId="15" xfId="0" applyFont="1" applyBorder="1" applyAlignment="1">
      <alignment horizontal="right" wrapText="1"/>
    </xf>
    <xf numFmtId="1" fontId="19" fillId="0" borderId="15" xfId="0" applyNumberFormat="1" applyFont="1" applyBorder="1" applyAlignment="1">
      <alignment horizontal="right" wrapText="1"/>
    </xf>
    <xf numFmtId="0" fontId="19" fillId="0" borderId="15" xfId="0" applyFont="1" applyBorder="1" applyAlignment="1">
      <alignment horizontal="right" wrapText="1"/>
    </xf>
    <xf numFmtId="0" fontId="19" fillId="0" borderId="15" xfId="0" applyFont="1" applyBorder="1" applyAlignment="1">
      <alignment horizontal="center" wrapText="1"/>
    </xf>
    <xf numFmtId="1" fontId="2" fillId="0" borderId="15" xfId="0" applyNumberFormat="1" applyFont="1" applyBorder="1" applyAlignment="1">
      <alignment horizontal="right" vertical="center" wrapText="1"/>
    </xf>
    <xf numFmtId="1" fontId="2" fillId="0" borderId="15" xfId="0" applyNumberFormat="1" applyFont="1" applyBorder="1" applyAlignment="1">
      <alignment horizontal="right"/>
    </xf>
    <xf numFmtId="0" fontId="10" fillId="0" borderId="15" xfId="0" applyFont="1" applyBorder="1" applyAlignment="1">
      <alignment horizontal="center" vertical="center" wrapText="1"/>
    </xf>
    <xf numFmtId="0" fontId="5" fillId="18" borderId="15" xfId="0" applyFont="1" applyFill="1" applyBorder="1" applyAlignment="1">
      <alignment horizontal="center" vertical="center" wrapText="1"/>
    </xf>
    <xf numFmtId="49" fontId="42" fillId="0" borderId="15" xfId="0" applyNumberFormat="1" applyFont="1" applyBorder="1" applyAlignment="1">
      <alignment horizontal="center" vertical="center" wrapText="1"/>
    </xf>
    <xf numFmtId="0" fontId="4" fillId="0" borderId="15" xfId="0" applyFont="1" applyBorder="1" applyAlignment="1">
      <alignment horizontal="center" vertical="center" wrapText="1"/>
    </xf>
    <xf numFmtId="1" fontId="6" fillId="0" borderId="15" xfId="0" applyNumberFormat="1" applyFont="1" applyBorder="1" applyAlignment="1">
      <alignment horizontal="center" vertical="center"/>
    </xf>
    <xf numFmtId="1" fontId="59" fillId="0" borderId="15" xfId="0" applyNumberFormat="1" applyFont="1" applyBorder="1" applyAlignment="1">
      <alignment horizontal="center" vertical="center" wrapText="1"/>
    </xf>
    <xf numFmtId="1" fontId="59" fillId="0" borderId="15" xfId="0" applyNumberFormat="1" applyFont="1" applyBorder="1" applyAlignment="1">
      <alignment horizontal="right" wrapText="1"/>
    </xf>
    <xf numFmtId="1" fontId="6" fillId="0" borderId="15" xfId="0" applyNumberFormat="1" applyFont="1" applyBorder="1"/>
    <xf numFmtId="0" fontId="4" fillId="20" borderId="15" xfId="0" applyFont="1" applyFill="1" applyBorder="1" applyAlignment="1">
      <alignment vertical="center" wrapText="1"/>
    </xf>
    <xf numFmtId="0" fontId="4" fillId="13" borderId="15" xfId="0" applyFont="1" applyFill="1" applyBorder="1" applyAlignment="1">
      <alignment vertical="center" wrapText="1"/>
    </xf>
    <xf numFmtId="0" fontId="4" fillId="13" borderId="15" xfId="0" applyFont="1" applyFill="1" applyBorder="1" applyAlignment="1">
      <alignment horizontal="center" vertical="center" wrapText="1"/>
    </xf>
    <xf numFmtId="0" fontId="6" fillId="13" borderId="15" xfId="0" applyFont="1" applyFill="1" applyBorder="1" applyAlignment="1">
      <alignment horizontal="center" vertical="center" wrapText="1"/>
    </xf>
    <xf numFmtId="0" fontId="4" fillId="21" borderId="15" xfId="0" applyFont="1" applyFill="1" applyBorder="1" applyAlignment="1">
      <alignment horizontal="center" vertical="center" wrapText="1"/>
    </xf>
    <xf numFmtId="0" fontId="4" fillId="22" borderId="2" xfId="0" applyFont="1" applyFill="1" applyBorder="1" applyAlignment="1">
      <alignment vertical="center" wrapText="1"/>
    </xf>
    <xf numFmtId="0" fontId="4" fillId="22" borderId="3" xfId="0" applyFont="1" applyFill="1" applyBorder="1" applyAlignment="1">
      <alignment horizontal="left" vertical="center" wrapText="1"/>
    </xf>
    <xf numFmtId="0" fontId="4" fillId="0" borderId="2" xfId="0" applyFont="1" applyBorder="1" applyAlignment="1">
      <alignment horizontal="center" vertical="center" wrapText="1"/>
    </xf>
    <xf numFmtId="0" fontId="6" fillId="0" borderId="15" xfId="0" applyFont="1" applyBorder="1" applyAlignment="1">
      <alignment horizontal="center" vertical="center" wrapText="1"/>
    </xf>
    <xf numFmtId="0" fontId="15" fillId="10" borderId="9" xfId="0" applyFont="1" applyFill="1" applyBorder="1" applyAlignment="1">
      <alignment horizontal="center" vertical="center" wrapText="1"/>
    </xf>
    <xf numFmtId="0" fontId="59" fillId="0" borderId="1" xfId="0" applyFont="1" applyBorder="1" applyAlignment="1">
      <alignment horizontal="center" vertical="center" wrapText="1"/>
    </xf>
    <xf numFmtId="0" fontId="4" fillId="10" borderId="1" xfId="0" applyFont="1" applyFill="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wrapText="1"/>
    </xf>
    <xf numFmtId="0" fontId="4" fillId="10" borderId="1" xfId="0" applyFont="1" applyFill="1" applyBorder="1" applyAlignment="1">
      <alignment horizontal="center" vertical="center" wrapText="1"/>
    </xf>
    <xf numFmtId="0" fontId="15" fillId="0" borderId="9" xfId="0" applyFont="1" applyBorder="1" applyAlignment="1">
      <alignment horizontal="center" vertical="center" wrapText="1"/>
    </xf>
    <xf numFmtId="0" fontId="40" fillId="10" borderId="1" xfId="0" applyFont="1" applyFill="1" applyBorder="1" applyAlignment="1">
      <alignment horizontal="center" vertical="center" wrapText="1"/>
    </xf>
    <xf numFmtId="0" fontId="40" fillId="0" borderId="1" xfId="0" applyFont="1" applyBorder="1" applyAlignment="1">
      <alignment horizontal="center" vertical="center" wrapText="1"/>
    </xf>
    <xf numFmtId="0" fontId="40" fillId="0" borderId="1" xfId="0" applyFont="1" applyBorder="1" applyAlignment="1">
      <alignment horizontal="left" vertical="center" wrapText="1"/>
    </xf>
    <xf numFmtId="0" fontId="40" fillId="10" borderId="1" xfId="0" applyFont="1" applyFill="1" applyBorder="1" applyAlignment="1">
      <alignment horizontal="left" vertical="center" wrapText="1"/>
    </xf>
    <xf numFmtId="0" fontId="4" fillId="3" borderId="1" xfId="0" applyFont="1" applyFill="1" applyBorder="1" applyAlignment="1">
      <alignment horizontal="left" vertical="center"/>
    </xf>
    <xf numFmtId="0" fontId="4" fillId="0" borderId="1" xfId="0" applyFont="1" applyBorder="1" applyAlignment="1">
      <alignment horizontal="left" vertical="center"/>
    </xf>
    <xf numFmtId="0" fontId="15" fillId="3" borderId="1" xfId="0" applyFont="1" applyFill="1" applyBorder="1" applyAlignment="1">
      <alignment horizontal="left" vertical="center"/>
    </xf>
    <xf numFmtId="0" fontId="15" fillId="0" borderId="1" xfId="0" applyFont="1" applyBorder="1" applyAlignment="1">
      <alignment horizontal="left" vertical="center"/>
    </xf>
    <xf numFmtId="0" fontId="4" fillId="7" borderId="1" xfId="0" applyFont="1" applyFill="1" applyBorder="1" applyAlignment="1">
      <alignment horizontal="center" vertical="center" wrapText="1"/>
    </xf>
    <xf numFmtId="0" fontId="15" fillId="7" borderId="9" xfId="0" applyFont="1" applyFill="1" applyBorder="1" applyAlignment="1">
      <alignment horizontal="center" vertical="center" wrapText="1"/>
    </xf>
    <xf numFmtId="0" fontId="15" fillId="0" borderId="6" xfId="0" applyFont="1" applyBorder="1" applyAlignment="1">
      <alignment horizontal="center" vertical="center" wrapText="1"/>
    </xf>
    <xf numFmtId="0" fontId="15" fillId="20" borderId="18" xfId="0" applyFont="1" applyFill="1" applyBorder="1" applyAlignment="1">
      <alignment horizontal="center" vertical="center" wrapText="1"/>
    </xf>
    <xf numFmtId="0" fontId="15" fillId="0" borderId="18" xfId="0" applyFont="1" applyBorder="1" applyAlignment="1">
      <alignment horizontal="center" vertical="center" wrapText="1"/>
    </xf>
    <xf numFmtId="0" fontId="15" fillId="13" borderId="18" xfId="0" applyFont="1" applyFill="1" applyBorder="1" applyAlignment="1">
      <alignment horizontal="center" vertical="center" wrapText="1"/>
    </xf>
    <xf numFmtId="0" fontId="30" fillId="0" borderId="5" xfId="0" applyFont="1" applyBorder="1" applyAlignment="1">
      <alignment horizontal="center"/>
    </xf>
    <xf numFmtId="0" fontId="30" fillId="0" borderId="5" xfId="0" applyFont="1" applyBorder="1" applyAlignment="1">
      <alignment horizontal="center" wrapText="1"/>
    </xf>
    <xf numFmtId="9" fontId="30" fillId="0" borderId="5" xfId="0" applyNumberFormat="1" applyFont="1" applyBorder="1" applyAlignment="1">
      <alignment horizontal="center"/>
    </xf>
    <xf numFmtId="9" fontId="6" fillId="0" borderId="5" xfId="0" applyNumberFormat="1" applyFont="1" applyBorder="1" applyAlignment="1">
      <alignment horizontal="center"/>
    </xf>
    <xf numFmtId="1" fontId="68" fillId="0" borderId="4" xfId="0" applyNumberFormat="1" applyFont="1" applyBorder="1" applyAlignment="1">
      <alignment horizontal="center" wrapText="1"/>
    </xf>
    <xf numFmtId="0" fontId="68" fillId="0" borderId="4" xfId="0" applyFont="1" applyBorder="1" applyAlignment="1">
      <alignment horizontal="center" wrapText="1"/>
    </xf>
    <xf numFmtId="0" fontId="4" fillId="8" borderId="15" xfId="0" applyFont="1" applyFill="1" applyBorder="1" applyAlignment="1">
      <alignment horizontal="center" vertical="center" wrapText="1"/>
    </xf>
    <xf numFmtId="0" fontId="59" fillId="0" borderId="15" xfId="0" applyFont="1" applyBorder="1" applyAlignment="1">
      <alignment horizontal="center" vertical="center" wrapText="1"/>
    </xf>
    <xf numFmtId="0" fontId="6" fillId="0" borderId="15" xfId="0" applyFont="1" applyBorder="1" applyAlignment="1">
      <alignment horizontal="center" vertical="center"/>
    </xf>
    <xf numFmtId="0" fontId="59" fillId="0" borderId="15" xfId="0" applyFont="1" applyBorder="1" applyAlignment="1">
      <alignment horizontal="center" vertical="center"/>
    </xf>
    <xf numFmtId="1" fontId="70" fillId="0" borderId="15" xfId="0" applyNumberFormat="1" applyFont="1" applyBorder="1" applyAlignment="1">
      <alignment horizontal="center" vertical="center" wrapText="1"/>
    </xf>
    <xf numFmtId="164" fontId="69" fillId="0" borderId="15" xfId="0" applyNumberFormat="1" applyFont="1" applyBorder="1" applyAlignment="1">
      <alignment horizontal="center" vertical="center" wrapText="1"/>
    </xf>
    <xf numFmtId="0" fontId="9" fillId="0" borderId="15" xfId="0" applyFont="1" applyBorder="1" applyAlignment="1">
      <alignment horizontal="center" vertical="center"/>
    </xf>
    <xf numFmtId="0" fontId="4" fillId="0" borderId="15" xfId="0" applyFont="1" applyBorder="1" applyAlignment="1">
      <alignment horizontal="center" vertical="center"/>
    </xf>
    <xf numFmtId="1" fontId="70" fillId="0" borderId="15" xfId="0" applyNumberFormat="1" applyFont="1" applyBorder="1" applyAlignment="1">
      <alignment horizontal="right"/>
    </xf>
    <xf numFmtId="164" fontId="70" fillId="0" borderId="15" xfId="0" applyNumberFormat="1" applyFont="1" applyBorder="1" applyAlignment="1">
      <alignment horizontal="right"/>
    </xf>
    <xf numFmtId="0" fontId="9" fillId="0" borderId="15" xfId="0" applyFont="1" applyBorder="1" applyAlignment="1">
      <alignment horizontal="center"/>
    </xf>
    <xf numFmtId="1" fontId="68" fillId="0" borderId="15" xfId="0" applyNumberFormat="1" applyFont="1" applyBorder="1" applyAlignment="1">
      <alignment horizontal="center" vertical="center" wrapText="1"/>
    </xf>
    <xf numFmtId="1" fontId="6" fillId="0" borderId="15" xfId="0" applyNumberFormat="1" applyFont="1" applyBorder="1" applyAlignment="1">
      <alignment horizontal="center" vertical="center" wrapText="1"/>
    </xf>
    <xf numFmtId="1" fontId="69" fillId="0" borderId="15" xfId="0" applyNumberFormat="1" applyFont="1" applyBorder="1" applyAlignment="1">
      <alignment horizontal="right" vertical="center" wrapText="1"/>
    </xf>
    <xf numFmtId="0" fontId="6" fillId="0" borderId="15" xfId="0" applyFont="1" applyBorder="1" applyAlignment="1">
      <alignment horizontal="right" vertical="center"/>
    </xf>
    <xf numFmtId="1" fontId="59" fillId="0" borderId="15" xfId="0" applyNumberFormat="1" applyFont="1" applyBorder="1" applyAlignment="1">
      <alignment horizontal="center" vertical="center"/>
    </xf>
    <xf numFmtId="1" fontId="70" fillId="0" borderId="15" xfId="0" applyNumberFormat="1" applyFont="1" applyBorder="1" applyAlignment="1">
      <alignment horizontal="center" vertical="center"/>
    </xf>
    <xf numFmtId="164" fontId="70" fillId="0" borderId="15" xfId="0" applyNumberFormat="1" applyFont="1" applyBorder="1" applyAlignment="1">
      <alignment horizontal="center" vertical="center"/>
    </xf>
    <xf numFmtId="1" fontId="59" fillId="0" borderId="15" xfId="0" applyNumberFormat="1" applyFont="1" applyBorder="1" applyAlignment="1">
      <alignment horizontal="center"/>
    </xf>
    <xf numFmtId="1" fontId="69" fillId="0" borderId="15" xfId="0" applyNumberFormat="1" applyFont="1" applyBorder="1" applyAlignment="1">
      <alignment horizontal="center"/>
    </xf>
    <xf numFmtId="1" fontId="69" fillId="0" borderId="15" xfId="0" applyNumberFormat="1" applyFont="1" applyBorder="1" applyAlignment="1">
      <alignment horizontal="right" wrapText="1"/>
    </xf>
    <xf numFmtId="0" fontId="41" fillId="0" borderId="15" xfId="0" applyFont="1" applyBorder="1" applyAlignment="1">
      <alignment horizontal="center" vertical="center"/>
    </xf>
    <xf numFmtId="1" fontId="6" fillId="0" borderId="15" xfId="0" applyNumberFormat="1" applyFont="1" applyBorder="1" applyAlignment="1">
      <alignment horizontal="center"/>
    </xf>
    <xf numFmtId="0" fontId="35" fillId="0" borderId="15" xfId="0" applyFont="1" applyBorder="1" applyAlignment="1">
      <alignment horizontal="center" vertical="center" wrapText="1"/>
    </xf>
    <xf numFmtId="0" fontId="4" fillId="8" borderId="15" xfId="0" applyFont="1" applyFill="1" applyBorder="1" applyAlignment="1">
      <alignment horizontal="center" vertical="center"/>
    </xf>
    <xf numFmtId="0" fontId="35" fillId="0" borderId="15" xfId="0" applyFont="1" applyBorder="1" applyAlignment="1">
      <alignment horizontal="center" vertical="center"/>
    </xf>
    <xf numFmtId="1" fontId="70" fillId="0" borderId="15" xfId="0" applyNumberFormat="1" applyFont="1" applyBorder="1" applyAlignment="1">
      <alignment horizontal="right" wrapText="1"/>
    </xf>
    <xf numFmtId="0" fontId="4" fillId="8" borderId="15" xfId="0" applyFont="1" applyFill="1" applyBorder="1" applyAlignment="1">
      <alignment horizontal="center"/>
    </xf>
    <xf numFmtId="0" fontId="4" fillId="0" borderId="15" xfId="0" applyFont="1" applyBorder="1" applyAlignment="1">
      <alignment horizontal="center"/>
    </xf>
    <xf numFmtId="0" fontId="6" fillId="0" borderId="15" xfId="0" applyFont="1" applyBorder="1" applyAlignment="1">
      <alignment horizontal="right"/>
    </xf>
    <xf numFmtId="1" fontId="68" fillId="0" borderId="15" xfId="0" applyNumberFormat="1" applyFont="1" applyBorder="1" applyAlignment="1">
      <alignment horizontal="right"/>
    </xf>
    <xf numFmtId="0" fontId="68" fillId="0" borderId="15" xfId="0" applyFont="1" applyBorder="1" applyAlignment="1">
      <alignment horizontal="right"/>
    </xf>
    <xf numFmtId="0" fontId="9" fillId="0" borderId="15" xfId="0" applyFont="1" applyBorder="1"/>
    <xf numFmtId="1" fontId="72" fillId="0" borderId="15" xfId="0" applyNumberFormat="1" applyFont="1" applyBorder="1" applyAlignment="1">
      <alignment horizontal="right"/>
    </xf>
    <xf numFmtId="0" fontId="72" fillId="0" borderId="15" xfId="0" applyFont="1" applyBorder="1" applyAlignment="1">
      <alignment horizontal="right"/>
    </xf>
    <xf numFmtId="0" fontId="15" fillId="0" borderId="15" xfId="0" applyFont="1" applyBorder="1" applyAlignment="1">
      <alignment horizontal="center"/>
    </xf>
    <xf numFmtId="0" fontId="59" fillId="0" borderId="15" xfId="0" applyFont="1" applyBorder="1"/>
    <xf numFmtId="0" fontId="59" fillId="0" borderId="15" xfId="0" applyFont="1" applyBorder="1" applyAlignment="1">
      <alignment horizontal="right"/>
    </xf>
    <xf numFmtId="1" fontId="60" fillId="0" borderId="15" xfId="0" applyNumberFormat="1" applyFont="1" applyBorder="1" applyAlignment="1">
      <alignment horizontal="right"/>
    </xf>
    <xf numFmtId="0" fontId="60" fillId="0" borderId="15" xfId="0" applyFont="1" applyBorder="1" applyAlignment="1">
      <alignment horizontal="right"/>
    </xf>
    <xf numFmtId="0" fontId="35" fillId="0" borderId="15" xfId="0" applyFont="1" applyBorder="1"/>
    <xf numFmtId="49" fontId="14" fillId="0" borderId="0" xfId="0" applyNumberFormat="1" applyFont="1"/>
    <xf numFmtId="49" fontId="14" fillId="0" borderId="13" xfId="0" applyNumberFormat="1" applyFont="1" applyBorder="1"/>
    <xf numFmtId="49" fontId="10" fillId="0" borderId="2" xfId="0" applyNumberFormat="1" applyFont="1" applyBorder="1" applyAlignment="1">
      <alignment horizontal="center" vertical="center" wrapText="1"/>
    </xf>
    <xf numFmtId="49" fontId="10" fillId="0" borderId="2" xfId="0" applyNumberFormat="1" applyFont="1" applyBorder="1" applyAlignment="1">
      <alignment horizontal="center" vertical="center"/>
    </xf>
    <xf numFmtId="49" fontId="74" fillId="0" borderId="2" xfId="0" applyNumberFormat="1" applyFont="1" applyBorder="1" applyAlignment="1">
      <alignment horizontal="center"/>
    </xf>
    <xf numFmtId="49" fontId="14" fillId="0" borderId="2" xfId="0" applyNumberFormat="1" applyFont="1" applyBorder="1" applyAlignment="1">
      <alignment horizontal="center" vertical="center"/>
    </xf>
    <xf numFmtId="49" fontId="14" fillId="0" borderId="2" xfId="0" applyNumberFormat="1" applyFont="1" applyBorder="1" applyAlignment="1">
      <alignment horizontal="center"/>
    </xf>
    <xf numFmtId="49" fontId="10" fillId="0" borderId="2" xfId="0" applyNumberFormat="1" applyFont="1" applyBorder="1" applyAlignment="1">
      <alignment horizontal="center"/>
    </xf>
    <xf numFmtId="49" fontId="10" fillId="2" borderId="2" xfId="0" applyNumberFormat="1" applyFont="1" applyFill="1" applyBorder="1" applyAlignment="1">
      <alignment horizontal="center"/>
    </xf>
    <xf numFmtId="49" fontId="10" fillId="13" borderId="2" xfId="0" applyNumberFormat="1" applyFont="1" applyFill="1" applyBorder="1" applyAlignment="1">
      <alignment horizontal="center"/>
    </xf>
    <xf numFmtId="49" fontId="10" fillId="12" borderId="2" xfId="0" applyNumberFormat="1" applyFont="1" applyFill="1" applyBorder="1" applyAlignment="1">
      <alignment horizontal="center"/>
    </xf>
    <xf numFmtId="49" fontId="74" fillId="12" borderId="2" xfId="0" applyNumberFormat="1" applyFont="1" applyFill="1" applyBorder="1" applyAlignment="1">
      <alignment horizontal="center"/>
    </xf>
    <xf numFmtId="49" fontId="14" fillId="13" borderId="2" xfId="0" applyNumberFormat="1" applyFont="1" applyFill="1" applyBorder="1"/>
    <xf numFmtId="49" fontId="14" fillId="0" borderId="2" xfId="0" applyNumberFormat="1" applyFont="1" applyBorder="1"/>
    <xf numFmtId="49" fontId="75" fillId="0" borderId="2" xfId="0" applyNumberFormat="1" applyFont="1" applyBorder="1" applyAlignment="1">
      <alignment horizontal="center" vertical="center" wrapText="1"/>
    </xf>
    <xf numFmtId="49" fontId="10" fillId="0" borderId="0" xfId="0" applyNumberFormat="1" applyFont="1"/>
    <xf numFmtId="49" fontId="14" fillId="0" borderId="15" xfId="0" applyNumberFormat="1" applyFont="1" applyBorder="1"/>
    <xf numFmtId="0" fontId="32" fillId="0" borderId="15" xfId="0" applyFont="1" applyBorder="1" applyAlignment="1">
      <alignment horizontal="center" vertical="center" wrapText="1"/>
    </xf>
    <xf numFmtId="0" fontId="15" fillId="0" borderId="15" xfId="0" applyFont="1" applyBorder="1"/>
    <xf numFmtId="0" fontId="4" fillId="13" borderId="15" xfId="0" applyFont="1" applyFill="1" applyBorder="1" applyAlignment="1">
      <alignment horizontal="center"/>
    </xf>
    <xf numFmtId="0" fontId="15" fillId="13" borderId="15" xfId="0" applyFont="1" applyFill="1" applyBorder="1"/>
    <xf numFmtId="0" fontId="4" fillId="13" borderId="15" xfId="0" applyFont="1" applyFill="1" applyBorder="1"/>
    <xf numFmtId="0" fontId="76" fillId="13" borderId="15" xfId="0" applyFont="1" applyFill="1" applyBorder="1"/>
    <xf numFmtId="1" fontId="15" fillId="13" borderId="15" xfId="0" applyNumberFormat="1" applyFont="1" applyFill="1" applyBorder="1" applyAlignment="1">
      <alignment horizontal="center"/>
    </xf>
    <xf numFmtId="0" fontId="77" fillId="0" borderId="2" xfId="0" applyFont="1" applyBorder="1" applyAlignment="1">
      <alignment horizontal="center" vertical="center" wrapText="1"/>
    </xf>
    <xf numFmtId="0" fontId="40" fillId="0" borderId="2" xfId="0" applyFont="1" applyBorder="1" applyAlignment="1">
      <alignment horizontal="center" vertical="center" wrapText="1"/>
    </xf>
    <xf numFmtId="0" fontId="71" fillId="0" borderId="2" xfId="0" applyFont="1" applyBorder="1" applyAlignment="1">
      <alignment horizontal="center" vertical="center" wrapText="1"/>
    </xf>
    <xf numFmtId="0" fontId="4" fillId="0" borderId="7" xfId="0" applyFont="1" applyBorder="1" applyAlignment="1">
      <alignment horizontal="center" vertical="center"/>
    </xf>
    <xf numFmtId="0" fontId="15" fillId="0" borderId="7" xfId="0" applyFont="1" applyBorder="1" applyAlignment="1">
      <alignment horizontal="center"/>
    </xf>
    <xf numFmtId="0" fontId="4" fillId="0" borderId="7" xfId="0" applyFont="1" applyBorder="1" applyAlignment="1">
      <alignment horizontal="center" vertical="center" wrapText="1"/>
    </xf>
    <xf numFmtId="0" fontId="6"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20" xfId="0" applyFont="1" applyBorder="1" applyAlignment="1">
      <alignment horizontal="center" vertical="center" wrapText="1"/>
    </xf>
    <xf numFmtId="0" fontId="9" fillId="0" borderId="0" xfId="0" applyFont="1"/>
    <xf numFmtId="0" fontId="37" fillId="0" borderId="0" xfId="1"/>
    <xf numFmtId="0" fontId="7" fillId="0" borderId="0" xfId="0" applyFont="1" applyAlignment="1">
      <alignment horizontal="right"/>
    </xf>
    <xf numFmtId="1" fontId="6" fillId="0" borderId="15" xfId="0" applyNumberFormat="1" applyFont="1" applyBorder="1" applyAlignment="1">
      <alignment horizontal="right"/>
    </xf>
    <xf numFmtId="0" fontId="35" fillId="0" borderId="15" xfId="0" applyFont="1" applyBorder="1" applyAlignment="1">
      <alignment horizontal="right" wrapText="1"/>
    </xf>
    <xf numFmtId="0" fontId="35" fillId="0" borderId="15" xfId="0" applyFont="1" applyBorder="1" applyAlignment="1">
      <alignment horizontal="right"/>
    </xf>
    <xf numFmtId="0" fontId="37" fillId="0" borderId="0" xfId="1" applyFill="1" applyBorder="1"/>
    <xf numFmtId="1" fontId="19" fillId="12" borderId="15" xfId="0" applyNumberFormat="1" applyFont="1" applyFill="1" applyBorder="1" applyAlignment="1">
      <alignment horizontal="right" wrapText="1"/>
    </xf>
    <xf numFmtId="164" fontId="19" fillId="12" borderId="15" xfId="0" applyNumberFormat="1" applyFont="1" applyFill="1" applyBorder="1" applyAlignment="1">
      <alignment horizontal="right" wrapText="1"/>
    </xf>
    <xf numFmtId="0" fontId="40" fillId="12" borderId="15" xfId="0" applyFont="1" applyFill="1" applyBorder="1" applyAlignment="1">
      <alignment horizontal="right"/>
    </xf>
    <xf numFmtId="0" fontId="41" fillId="12" borderId="15" xfId="0" applyFont="1" applyFill="1" applyBorder="1" applyAlignment="1">
      <alignment horizontal="right" wrapText="1"/>
    </xf>
    <xf numFmtId="1" fontId="4" fillId="12" borderId="15" xfId="0" applyNumberFormat="1" applyFont="1" applyFill="1" applyBorder="1" applyAlignment="1">
      <alignment horizontal="right" wrapText="1"/>
    </xf>
    <xf numFmtId="0" fontId="6" fillId="0" borderId="0" xfId="0" applyFont="1" applyAlignment="1">
      <alignment horizontal="center" vertical="center"/>
    </xf>
    <xf numFmtId="0" fontId="6" fillId="3" borderId="15" xfId="0" applyFont="1" applyFill="1" applyBorder="1" applyAlignment="1">
      <alignment horizontal="center" vertical="center" wrapText="1"/>
    </xf>
    <xf numFmtId="0" fontId="6" fillId="3" borderId="15" xfId="0" applyFont="1" applyFill="1" applyBorder="1" applyAlignment="1">
      <alignment horizontal="center" vertical="center"/>
    </xf>
    <xf numFmtId="0" fontId="27" fillId="18" borderId="15" xfId="0" applyFont="1" applyFill="1" applyBorder="1" applyAlignment="1">
      <alignment horizontal="left" vertical="top" wrapText="1"/>
    </xf>
    <xf numFmtId="0" fontId="4" fillId="0" borderId="15" xfId="0" applyFont="1" applyBorder="1" applyAlignment="1">
      <alignment horizontal="left" vertical="top" wrapText="1"/>
    </xf>
    <xf numFmtId="0" fontId="4" fillId="0" borderId="0" xfId="0" applyFont="1" applyAlignment="1">
      <alignment horizontal="left" vertical="top"/>
    </xf>
    <xf numFmtId="0" fontId="4" fillId="0" borderId="15" xfId="0" applyFont="1" applyBorder="1" applyAlignment="1">
      <alignment horizontal="left" vertical="top"/>
    </xf>
    <xf numFmtId="0" fontId="4" fillId="3" borderId="15" xfId="0" applyFont="1" applyFill="1" applyBorder="1" applyAlignment="1">
      <alignment horizontal="center" vertical="center"/>
    </xf>
    <xf numFmtId="0" fontId="4" fillId="0" borderId="16" xfId="0" applyFont="1" applyBorder="1" applyAlignment="1">
      <alignment horizontal="left" vertical="center" wrapText="1"/>
    </xf>
    <xf numFmtId="0" fontId="4" fillId="0" borderId="15" xfId="0" applyFont="1" applyBorder="1" applyAlignment="1">
      <alignment horizontal="left" vertical="center" wrapText="1"/>
    </xf>
    <xf numFmtId="0" fontId="42" fillId="0" borderId="2" xfId="0" applyFont="1" applyBorder="1" applyAlignment="1">
      <alignment horizontal="center" vertical="center"/>
    </xf>
    <xf numFmtId="1" fontId="46" fillId="0" borderId="2" xfId="0" applyNumberFormat="1" applyFont="1" applyBorder="1" applyAlignment="1">
      <alignment horizontal="center"/>
    </xf>
    <xf numFmtId="0" fontId="2" fillId="0" borderId="2" xfId="0" applyFont="1" applyBorder="1" applyAlignment="1">
      <alignment horizontal="center" vertical="center"/>
    </xf>
    <xf numFmtId="1" fontId="2" fillId="0" borderId="2" xfId="0" applyNumberFormat="1" applyFont="1" applyBorder="1" applyAlignment="1">
      <alignment horizontal="center"/>
    </xf>
    <xf numFmtId="0" fontId="2" fillId="0" borderId="2" xfId="0" applyFont="1" applyBorder="1"/>
    <xf numFmtId="0" fontId="2" fillId="0" borderId="2" xfId="0" applyFont="1" applyBorder="1" applyAlignment="1">
      <alignment horizontal="center"/>
    </xf>
    <xf numFmtId="1" fontId="42" fillId="0" borderId="2" xfId="0" applyNumberFormat="1" applyFont="1" applyBorder="1" applyAlignment="1">
      <alignment horizontal="center"/>
    </xf>
    <xf numFmtId="1" fontId="42" fillId="2" borderId="2" xfId="0" applyNumberFormat="1" applyFont="1" applyFill="1" applyBorder="1" applyAlignment="1">
      <alignment horizontal="center"/>
    </xf>
    <xf numFmtId="1" fontId="46" fillId="2" borderId="2" xfId="0" applyNumberFormat="1" applyFont="1" applyFill="1" applyBorder="1" applyAlignment="1">
      <alignment horizontal="center"/>
    </xf>
    <xf numFmtId="1" fontId="49" fillId="0" borderId="2" xfId="0" applyNumberFormat="1" applyFont="1" applyBorder="1" applyAlignment="1">
      <alignment horizontal="center" vertical="center" wrapText="1"/>
    </xf>
    <xf numFmtId="1" fontId="4" fillId="12" borderId="15" xfId="0" applyNumberFormat="1" applyFont="1" applyFill="1" applyBorder="1" applyAlignment="1">
      <alignment horizontal="right"/>
    </xf>
    <xf numFmtId="1" fontId="6" fillId="0" borderId="0" xfId="0" applyNumberFormat="1" applyFont="1" applyAlignment="1">
      <alignment horizontal="right"/>
    </xf>
    <xf numFmtId="0" fontId="27" fillId="17" borderId="15" xfId="0" applyFont="1" applyFill="1" applyBorder="1" applyAlignment="1">
      <alignment horizontal="left" vertical="top" wrapText="1"/>
    </xf>
    <xf numFmtId="0" fontId="5" fillId="2" borderId="15" xfId="0" applyFont="1" applyFill="1" applyBorder="1" applyAlignment="1">
      <alignment horizontal="center" vertical="center" wrapText="1"/>
    </xf>
    <xf numFmtId="0" fontId="4" fillId="2" borderId="15" xfId="0" applyFont="1" applyFill="1" applyBorder="1" applyAlignment="1">
      <alignment horizontal="left" vertical="top" wrapText="1"/>
    </xf>
    <xf numFmtId="1" fontId="4" fillId="3" borderId="15" xfId="0" applyNumberFormat="1" applyFont="1" applyFill="1" applyBorder="1" applyAlignment="1">
      <alignment horizontal="center" vertical="center" wrapText="1"/>
    </xf>
    <xf numFmtId="0" fontId="2" fillId="0" borderId="15" xfId="0" applyFont="1" applyBorder="1" applyAlignment="1">
      <alignment horizontal="left" vertical="top" wrapText="1"/>
    </xf>
    <xf numFmtId="0" fontId="3" fillId="2" borderId="15" xfId="0" applyFont="1" applyFill="1" applyBorder="1" applyAlignment="1">
      <alignment horizontal="center" vertical="center" wrapText="1"/>
    </xf>
    <xf numFmtId="1" fontId="4" fillId="0" borderId="15" xfId="0" applyNumberFormat="1" applyFont="1" applyBorder="1" applyAlignment="1">
      <alignment horizontal="right"/>
    </xf>
    <xf numFmtId="0" fontId="4" fillId="0" borderId="15" xfId="0" applyFont="1" applyBorder="1" applyAlignment="1">
      <alignment horizontal="right" wrapText="1"/>
    </xf>
    <xf numFmtId="49" fontId="2" fillId="12" borderId="15" xfId="0" applyNumberFormat="1" applyFont="1" applyFill="1" applyBorder="1" applyAlignment="1">
      <alignment horizontal="right"/>
    </xf>
    <xf numFmtId="0" fontId="3" fillId="12" borderId="15" xfId="0" applyFont="1" applyFill="1" applyBorder="1" applyAlignment="1">
      <alignment horizontal="center" vertical="center"/>
    </xf>
    <xf numFmtId="0" fontId="4" fillId="12" borderId="15" xfId="0" applyFont="1" applyFill="1" applyBorder="1" applyAlignment="1">
      <alignment horizontal="left" vertical="top"/>
    </xf>
    <xf numFmtId="0" fontId="5" fillId="12" borderId="15" xfId="0" applyFont="1" applyFill="1" applyBorder="1" applyAlignment="1">
      <alignment horizontal="center" vertical="center"/>
    </xf>
    <xf numFmtId="0" fontId="5" fillId="12" borderId="15" xfId="0" applyFont="1" applyFill="1" applyBorder="1" applyAlignment="1">
      <alignment horizontal="center" vertical="center" wrapText="1"/>
    </xf>
    <xf numFmtId="49" fontId="2" fillId="0" borderId="15" xfId="0" applyNumberFormat="1" applyFont="1" applyBorder="1" applyAlignment="1">
      <alignment horizontal="right"/>
    </xf>
    <xf numFmtId="1" fontId="2" fillId="0" borderId="15" xfId="0" applyNumberFormat="1" applyFont="1" applyBorder="1" applyAlignment="1">
      <alignment horizontal="right" vertical="center"/>
    </xf>
    <xf numFmtId="49" fontId="2" fillId="0" borderId="15" xfId="0" applyNumberFormat="1" applyFont="1" applyBorder="1" applyAlignment="1">
      <alignment horizontal="right" vertical="center"/>
    </xf>
    <xf numFmtId="0" fontId="4" fillId="13" borderId="0" xfId="0" applyFont="1" applyFill="1"/>
    <xf numFmtId="0" fontId="41" fillId="0" borderId="15" xfId="0" applyFont="1" applyBorder="1" applyAlignment="1">
      <alignment horizontal="center" wrapText="1"/>
    </xf>
    <xf numFmtId="0" fontId="4" fillId="4" borderId="15" xfId="0" applyFont="1" applyFill="1" applyBorder="1" applyAlignment="1">
      <alignment horizontal="center" vertical="center" wrapText="1"/>
    </xf>
    <xf numFmtId="165" fontId="12" fillId="0" borderId="15" xfId="0" applyNumberFormat="1" applyFont="1" applyBorder="1" applyAlignment="1">
      <alignment horizontal="center" vertical="center"/>
    </xf>
    <xf numFmtId="0" fontId="6" fillId="2" borderId="15" xfId="0" applyFont="1" applyFill="1" applyBorder="1" applyAlignment="1">
      <alignment horizontal="right" wrapText="1"/>
    </xf>
    <xf numFmtId="0" fontId="81" fillId="0" borderId="15" xfId="0" applyFont="1" applyBorder="1" applyAlignment="1">
      <alignment horizontal="center"/>
    </xf>
    <xf numFmtId="1" fontId="6" fillId="4" borderId="15" xfId="0" applyNumberFormat="1" applyFont="1" applyFill="1" applyBorder="1" applyAlignment="1">
      <alignment horizontal="right" wrapText="1"/>
    </xf>
    <xf numFmtId="1" fontId="6" fillId="12" borderId="15" xfId="0" applyNumberFormat="1" applyFont="1" applyFill="1" applyBorder="1" applyAlignment="1">
      <alignment horizontal="right" wrapText="1"/>
    </xf>
    <xf numFmtId="164" fontId="19" fillId="2" borderId="15" xfId="0" applyNumberFormat="1" applyFont="1" applyFill="1" applyBorder="1" applyAlignment="1">
      <alignment horizontal="right" wrapText="1"/>
    </xf>
    <xf numFmtId="0" fontId="95" fillId="18" borderId="15" xfId="0" applyFont="1" applyFill="1" applyBorder="1" applyAlignment="1">
      <alignment horizontal="right" wrapText="1"/>
    </xf>
    <xf numFmtId="0" fontId="97" fillId="18" borderId="15" xfId="0" applyFont="1" applyFill="1" applyBorder="1" applyAlignment="1">
      <alignment horizontal="right" wrapText="1"/>
    </xf>
    <xf numFmtId="0" fontId="97" fillId="18" borderId="15" xfId="0" applyFont="1" applyFill="1" applyBorder="1" applyAlignment="1">
      <alignment horizontal="right"/>
    </xf>
    <xf numFmtId="1" fontId="97" fillId="18" borderId="15" xfId="0" applyNumberFormat="1" applyFont="1" applyFill="1" applyBorder="1" applyAlignment="1">
      <alignment horizontal="right" wrapText="1"/>
    </xf>
    <xf numFmtId="0" fontId="2" fillId="0" borderId="0" xfId="0" applyFont="1" applyAlignment="1">
      <alignment horizontal="right"/>
    </xf>
    <xf numFmtId="0" fontId="4" fillId="0" borderId="15" xfId="0" applyFont="1" applyBorder="1" applyAlignment="1">
      <alignment horizontal="right" vertical="center"/>
    </xf>
    <xf numFmtId="1" fontId="9" fillId="0" borderId="0" xfId="0" applyNumberFormat="1" applyFont="1" applyAlignment="1">
      <alignment horizontal="center"/>
    </xf>
    <xf numFmtId="1" fontId="9" fillId="11" borderId="15" xfId="0" applyNumberFormat="1" applyFont="1" applyFill="1" applyBorder="1" applyAlignment="1">
      <alignment horizontal="center" wrapText="1"/>
    </xf>
    <xf numFmtId="0" fontId="8" fillId="0" borderId="15" xfId="0" applyFont="1" applyBorder="1" applyAlignment="1">
      <alignment horizontal="center" vertical="center" wrapText="1"/>
    </xf>
    <xf numFmtId="0" fontId="30" fillId="0" borderId="15" xfId="0" applyFont="1" applyBorder="1" applyAlignment="1">
      <alignment horizontal="center" vertical="center" wrapText="1"/>
    </xf>
    <xf numFmtId="1" fontId="30" fillId="0" borderId="15" xfId="0" applyNumberFormat="1" applyFont="1" applyBorder="1" applyAlignment="1">
      <alignment horizontal="center" vertical="center" wrapText="1"/>
    </xf>
    <xf numFmtId="1" fontId="8" fillId="0" borderId="15" xfId="0" applyNumberFormat="1" applyFont="1" applyBorder="1" applyAlignment="1">
      <alignment horizontal="center" vertical="center" wrapText="1"/>
    </xf>
    <xf numFmtId="1" fontId="4" fillId="13" borderId="15" xfId="0" applyNumberFormat="1" applyFont="1" applyFill="1" applyBorder="1" applyAlignment="1">
      <alignment horizontal="right" wrapText="1"/>
    </xf>
    <xf numFmtId="0" fontId="3" fillId="18" borderId="15" xfId="0" applyFont="1" applyFill="1" applyBorder="1" applyAlignment="1">
      <alignment horizontal="center" vertical="center" wrapText="1"/>
    </xf>
    <xf numFmtId="0" fontId="97" fillId="2" borderId="15" xfId="0" applyFont="1" applyFill="1" applyBorder="1" applyAlignment="1">
      <alignment horizontal="right" wrapText="1"/>
    </xf>
    <xf numFmtId="0" fontId="98" fillId="2" borderId="15" xfId="0" applyFont="1" applyFill="1" applyBorder="1" applyAlignment="1">
      <alignment horizontal="right"/>
    </xf>
    <xf numFmtId="0" fontId="99" fillId="2" borderId="15" xfId="0" applyFont="1" applyFill="1" applyBorder="1" applyAlignment="1">
      <alignment horizontal="right" wrapText="1"/>
    </xf>
    <xf numFmtId="1" fontId="97" fillId="2" borderId="15" xfId="0" applyNumberFormat="1" applyFont="1" applyFill="1" applyBorder="1" applyAlignment="1">
      <alignment horizontal="right"/>
    </xf>
    <xf numFmtId="1" fontId="97" fillId="2" borderId="15" xfId="0" applyNumberFormat="1" applyFont="1" applyFill="1" applyBorder="1" applyAlignment="1">
      <alignment horizontal="right" wrapText="1"/>
    </xf>
    <xf numFmtId="1" fontId="19" fillId="2" borderId="15" xfId="0" applyNumberFormat="1" applyFont="1" applyFill="1" applyBorder="1" applyAlignment="1">
      <alignment horizontal="right" wrapText="1"/>
    </xf>
    <xf numFmtId="49" fontId="2" fillId="0" borderId="15" xfId="0" applyNumberFormat="1" applyFont="1" applyBorder="1" applyAlignment="1">
      <alignment horizontal="right" vertical="center" wrapText="1"/>
    </xf>
    <xf numFmtId="1" fontId="6" fillId="13" borderId="15" xfId="0" applyNumberFormat="1" applyFont="1" applyFill="1" applyBorder="1" applyAlignment="1">
      <alignment horizontal="right"/>
    </xf>
    <xf numFmtId="0" fontId="40" fillId="0" borderId="15" xfId="0" applyFont="1" applyBorder="1" applyAlignment="1">
      <alignment horizontal="right"/>
    </xf>
    <xf numFmtId="0" fontId="41" fillId="0" borderId="15" xfId="0" applyFont="1" applyBorder="1" applyAlignment="1">
      <alignment horizontal="right" wrapText="1"/>
    </xf>
    <xf numFmtId="1" fontId="4" fillId="0" borderId="15" xfId="0" applyNumberFormat="1" applyFont="1" applyBorder="1" applyAlignment="1">
      <alignment horizontal="right" wrapText="1"/>
    </xf>
    <xf numFmtId="164" fontId="4" fillId="4" borderId="15" xfId="0" applyNumberFormat="1" applyFont="1" applyFill="1" applyBorder="1" applyAlignment="1">
      <alignment horizontal="right" wrapText="1"/>
    </xf>
    <xf numFmtId="1" fontId="78" fillId="11" borderId="15" xfId="0" applyNumberFormat="1" applyFont="1" applyFill="1" applyBorder="1" applyAlignment="1">
      <alignment horizontal="center" wrapText="1"/>
    </xf>
    <xf numFmtId="1" fontId="6" fillId="3" borderId="15" xfId="0" applyNumberFormat="1" applyFont="1" applyFill="1" applyBorder="1" applyAlignment="1">
      <alignment horizontal="center" vertical="center" wrapText="1"/>
    </xf>
    <xf numFmtId="1" fontId="35" fillId="0" borderId="15" xfId="0" applyNumberFormat="1" applyFont="1" applyBorder="1" applyAlignment="1">
      <alignment horizontal="right" wrapText="1"/>
    </xf>
    <xf numFmtId="0" fontId="8" fillId="0" borderId="15" xfId="0" applyFont="1" applyBorder="1" applyAlignment="1">
      <alignment horizontal="center" wrapText="1"/>
    </xf>
    <xf numFmtId="0" fontId="3" fillId="12" borderId="15" xfId="0" applyFont="1" applyFill="1" applyBorder="1" applyAlignment="1">
      <alignment horizontal="center" vertical="center" wrapText="1"/>
    </xf>
    <xf numFmtId="0" fontId="4" fillId="15" borderId="15" xfId="0" applyFont="1" applyFill="1" applyBorder="1" applyAlignment="1">
      <alignment horizontal="center" vertical="center" wrapText="1"/>
    </xf>
    <xf numFmtId="0" fontId="4" fillId="3" borderId="15" xfId="0" applyFont="1" applyFill="1" applyBorder="1" applyAlignment="1">
      <alignment horizontal="center" vertical="center" wrapText="1"/>
    </xf>
    <xf numFmtId="164" fontId="19" fillId="0" borderId="15" xfId="0" applyNumberFormat="1" applyFont="1" applyBorder="1" applyAlignment="1">
      <alignment horizontal="right" wrapText="1"/>
    </xf>
    <xf numFmtId="164" fontId="4" fillId="0" borderId="15" xfId="0" applyNumberFormat="1" applyFont="1" applyBorder="1" applyAlignment="1">
      <alignment horizontal="right" wrapText="1"/>
    </xf>
    <xf numFmtId="0" fontId="45" fillId="0" borderId="15" xfId="0" applyFont="1" applyBorder="1" applyAlignment="1">
      <alignment horizontal="center" vertical="center" wrapText="1"/>
    </xf>
    <xf numFmtId="0" fontId="34" fillId="0" borderId="15" xfId="0" applyFont="1" applyBorder="1" applyAlignment="1">
      <alignment horizontal="right"/>
    </xf>
    <xf numFmtId="1" fontId="46" fillId="0" borderId="15" xfId="0" applyNumberFormat="1" applyFont="1" applyBorder="1" applyAlignment="1">
      <alignment horizontal="right"/>
    </xf>
    <xf numFmtId="1" fontId="4" fillId="13" borderId="15" xfId="0" applyNumberFormat="1" applyFont="1" applyFill="1" applyBorder="1" applyAlignment="1">
      <alignment horizontal="right"/>
    </xf>
    <xf numFmtId="0" fontId="3" fillId="2" borderId="15" xfId="0" applyFont="1" applyFill="1" applyBorder="1" applyAlignment="1">
      <alignment horizontal="center" vertical="center"/>
    </xf>
    <xf numFmtId="0" fontId="4" fillId="2" borderId="15" xfId="0" applyFont="1" applyFill="1" applyBorder="1" applyAlignment="1">
      <alignment horizontal="left" vertical="top"/>
    </xf>
    <xf numFmtId="0" fontId="5" fillId="2" borderId="15" xfId="0" applyFont="1" applyFill="1" applyBorder="1" applyAlignment="1">
      <alignment horizontal="center" vertical="center"/>
    </xf>
    <xf numFmtId="0" fontId="97" fillId="2" borderId="15" xfId="0" applyFont="1" applyFill="1" applyBorder="1" applyAlignment="1">
      <alignment horizontal="right"/>
    </xf>
    <xf numFmtId="0" fontId="4" fillId="12" borderId="15" xfId="0" applyFont="1" applyFill="1" applyBorder="1" applyAlignment="1">
      <alignment horizontal="right"/>
    </xf>
    <xf numFmtId="0" fontId="4" fillId="4" borderId="15" xfId="0" applyFont="1" applyFill="1" applyBorder="1" applyAlignment="1">
      <alignment horizontal="right"/>
    </xf>
    <xf numFmtId="1" fontId="4" fillId="4" borderId="15" xfId="0" applyNumberFormat="1" applyFont="1" applyFill="1" applyBorder="1" applyAlignment="1">
      <alignment horizontal="right"/>
    </xf>
    <xf numFmtId="1" fontId="4" fillId="4" borderId="15" xfId="0" applyNumberFormat="1" applyFont="1" applyFill="1" applyBorder="1" applyAlignment="1">
      <alignment horizontal="right" wrapText="1"/>
    </xf>
    <xf numFmtId="1" fontId="19" fillId="4" borderId="15" xfId="0" applyNumberFormat="1" applyFont="1" applyFill="1" applyBorder="1" applyAlignment="1">
      <alignment horizontal="right" wrapText="1"/>
    </xf>
    <xf numFmtId="164" fontId="19" fillId="4" borderId="15" xfId="0" applyNumberFormat="1" applyFont="1" applyFill="1" applyBorder="1" applyAlignment="1">
      <alignment horizontal="right" wrapText="1"/>
    </xf>
    <xf numFmtId="0" fontId="19" fillId="0" borderId="15" xfId="0" applyFont="1" applyBorder="1" applyAlignment="1">
      <alignment horizontal="right" vertical="center"/>
    </xf>
    <xf numFmtId="49" fontId="73" fillId="0" borderId="15" xfId="1" applyNumberFormat="1" applyFont="1" applyFill="1" applyBorder="1" applyAlignment="1" applyProtection="1">
      <alignment horizontal="right"/>
    </xf>
    <xf numFmtId="1" fontId="79" fillId="11" borderId="15" xfId="0" applyNumberFormat="1" applyFont="1" applyFill="1" applyBorder="1" applyAlignment="1">
      <alignment horizontal="center" wrapText="1"/>
    </xf>
    <xf numFmtId="1" fontId="19" fillId="2" borderId="15" xfId="0" applyNumberFormat="1" applyFont="1" applyFill="1" applyBorder="1" applyAlignment="1">
      <alignment horizontal="right"/>
    </xf>
    <xf numFmtId="0" fontId="4" fillId="12" borderId="15" xfId="0" applyFont="1" applyFill="1" applyBorder="1" applyAlignment="1">
      <alignment horizontal="left" vertical="top" wrapText="1"/>
    </xf>
    <xf numFmtId="0" fontId="4" fillId="12" borderId="15" xfId="0" applyFont="1" applyFill="1" applyBorder="1" applyAlignment="1">
      <alignment horizontal="right" wrapText="1"/>
    </xf>
    <xf numFmtId="1" fontId="4" fillId="25" borderId="15" xfId="0" applyNumberFormat="1" applyFont="1" applyFill="1" applyBorder="1" applyAlignment="1">
      <alignment horizontal="right"/>
    </xf>
    <xf numFmtId="1" fontId="19" fillId="12" borderId="15" xfId="0" applyNumberFormat="1" applyFont="1" applyFill="1" applyBorder="1" applyAlignment="1">
      <alignment horizontal="right"/>
    </xf>
    <xf numFmtId="164" fontId="19" fillId="12" borderId="15" xfId="0" applyNumberFormat="1" applyFont="1" applyFill="1" applyBorder="1" applyAlignment="1">
      <alignment horizontal="right"/>
    </xf>
    <xf numFmtId="1" fontId="4" fillId="26" borderId="15" xfId="0" applyNumberFormat="1" applyFont="1" applyFill="1" applyBorder="1" applyAlignment="1">
      <alignment horizontal="right"/>
    </xf>
    <xf numFmtId="1" fontId="4" fillId="27" borderId="15" xfId="0" applyNumberFormat="1" applyFont="1" applyFill="1" applyBorder="1" applyAlignment="1">
      <alignment horizontal="right"/>
    </xf>
    <xf numFmtId="1" fontId="2" fillId="4" borderId="15" xfId="0" applyNumberFormat="1" applyFont="1" applyFill="1" applyBorder="1" applyAlignment="1">
      <alignment horizontal="right"/>
    </xf>
    <xf numFmtId="0" fontId="6" fillId="0" borderId="15" xfId="0" applyFont="1" applyBorder="1" applyAlignment="1">
      <alignment horizontal="left" vertical="top" wrapText="1"/>
    </xf>
    <xf numFmtId="0" fontId="35" fillId="2" borderId="15" xfId="0" applyFont="1" applyFill="1" applyBorder="1" applyAlignment="1">
      <alignment horizontal="right" wrapText="1"/>
    </xf>
    <xf numFmtId="1" fontId="6" fillId="2" borderId="15" xfId="0" applyNumberFormat="1" applyFont="1" applyFill="1" applyBorder="1" applyAlignment="1">
      <alignment horizontal="right"/>
    </xf>
    <xf numFmtId="1" fontId="39" fillId="4" borderId="15" xfId="0" applyNumberFormat="1" applyFont="1" applyFill="1" applyBorder="1" applyAlignment="1">
      <alignment horizontal="right"/>
    </xf>
    <xf numFmtId="0" fontId="35" fillId="2" borderId="15" xfId="0" applyFont="1" applyFill="1" applyBorder="1" applyAlignment="1">
      <alignment horizontal="right"/>
    </xf>
    <xf numFmtId="0" fontId="6" fillId="2" borderId="15" xfId="0" applyFont="1" applyFill="1" applyBorder="1" applyAlignment="1">
      <alignment horizontal="right"/>
    </xf>
    <xf numFmtId="1" fontId="2" fillId="13" borderId="15" xfId="0" applyNumberFormat="1" applyFont="1" applyFill="1" applyBorder="1" applyAlignment="1">
      <alignment horizontal="right"/>
    </xf>
    <xf numFmtId="0" fontId="34" fillId="2" borderId="15" xfId="0" applyFont="1" applyFill="1" applyBorder="1" applyAlignment="1">
      <alignment horizontal="right"/>
    </xf>
    <xf numFmtId="1" fontId="19" fillId="4" borderId="15" xfId="0" applyNumberFormat="1" applyFont="1" applyFill="1" applyBorder="1" applyAlignment="1">
      <alignment horizontal="right" vertical="center"/>
    </xf>
    <xf numFmtId="1" fontId="19" fillId="0" borderId="15" xfId="0" applyNumberFormat="1" applyFont="1" applyBorder="1" applyAlignment="1">
      <alignment horizontal="right" vertical="center"/>
    </xf>
    <xf numFmtId="0" fontId="34" fillId="2" borderId="15" xfId="0" applyFont="1" applyFill="1" applyBorder="1" applyAlignment="1">
      <alignment horizontal="right" wrapText="1"/>
    </xf>
    <xf numFmtId="1" fontId="35" fillId="2" borderId="15" xfId="0" applyNumberFormat="1" applyFont="1" applyFill="1" applyBorder="1" applyAlignment="1">
      <alignment horizontal="right"/>
    </xf>
    <xf numFmtId="1" fontId="35" fillId="13" borderId="15" xfId="0" applyNumberFormat="1" applyFont="1" applyFill="1" applyBorder="1" applyAlignment="1">
      <alignment horizontal="right"/>
    </xf>
    <xf numFmtId="1" fontId="49" fillId="0" borderId="15" xfId="0" applyNumberFormat="1" applyFont="1" applyBorder="1" applyAlignment="1">
      <alignment horizontal="right" vertical="center" wrapText="1"/>
    </xf>
    <xf numFmtId="0" fontId="40" fillId="0" borderId="15" xfId="0" applyFont="1" applyBorder="1" applyAlignment="1">
      <alignment horizontal="left" vertical="top" wrapText="1"/>
    </xf>
    <xf numFmtId="0" fontId="84" fillId="0" borderId="15" xfId="0" applyFont="1" applyBorder="1" applyAlignment="1">
      <alignment horizontal="center" vertical="center" wrapText="1"/>
    </xf>
    <xf numFmtId="1" fontId="81" fillId="0" borderId="15" xfId="0" applyNumberFormat="1" applyFont="1" applyBorder="1" applyAlignment="1">
      <alignment horizontal="right"/>
    </xf>
    <xf numFmtId="1" fontId="81" fillId="0" borderId="15" xfId="0" applyNumberFormat="1" applyFont="1" applyBorder="1" applyAlignment="1">
      <alignment horizontal="right" wrapText="1"/>
    </xf>
    <xf numFmtId="164" fontId="81" fillId="0" borderId="15" xfId="0" applyNumberFormat="1" applyFont="1" applyBorder="1" applyAlignment="1">
      <alignment horizontal="right"/>
    </xf>
    <xf numFmtId="1" fontId="81" fillId="11" borderId="15" xfId="0" applyNumberFormat="1" applyFont="1" applyFill="1" applyBorder="1" applyAlignment="1">
      <alignment horizontal="center" wrapText="1"/>
    </xf>
    <xf numFmtId="0" fontId="3" fillId="13" borderId="15" xfId="0" applyFont="1" applyFill="1" applyBorder="1" applyAlignment="1">
      <alignment horizontal="center" vertical="center"/>
    </xf>
    <xf numFmtId="0" fontId="4" fillId="13" borderId="15" xfId="0" applyFont="1" applyFill="1" applyBorder="1" applyAlignment="1">
      <alignment horizontal="left" vertical="top" wrapText="1"/>
    </xf>
    <xf numFmtId="0" fontId="5" fillId="13" borderId="15" xfId="0" applyFont="1" applyFill="1" applyBorder="1" applyAlignment="1">
      <alignment horizontal="center" vertical="center" wrapText="1"/>
    </xf>
    <xf numFmtId="0" fontId="4" fillId="14" borderId="15" xfId="0" applyFont="1" applyFill="1" applyBorder="1" applyAlignment="1">
      <alignment horizontal="center" vertical="center"/>
    </xf>
    <xf numFmtId="0" fontId="4" fillId="13" borderId="15" xfId="0" applyFont="1" applyFill="1" applyBorder="1" applyAlignment="1">
      <alignment horizontal="right"/>
    </xf>
    <xf numFmtId="0" fontId="41" fillId="13" borderId="15" xfId="0" applyFont="1" applyFill="1" applyBorder="1" applyAlignment="1">
      <alignment horizontal="right" wrapText="1"/>
    </xf>
    <xf numFmtId="164" fontId="4" fillId="13" borderId="15" xfId="0" applyNumberFormat="1" applyFont="1" applyFill="1" applyBorder="1" applyAlignment="1">
      <alignment horizontal="right"/>
    </xf>
    <xf numFmtId="49" fontId="2" fillId="4" borderId="15" xfId="0" applyNumberFormat="1" applyFont="1" applyFill="1" applyBorder="1" applyAlignment="1">
      <alignment horizontal="right"/>
    </xf>
    <xf numFmtId="0" fontId="3" fillId="4" borderId="15" xfId="0" applyFont="1" applyFill="1" applyBorder="1" applyAlignment="1">
      <alignment horizontal="center" vertical="center" wrapText="1"/>
    </xf>
    <xf numFmtId="0" fontId="4" fillId="4" borderId="15" xfId="0" applyFont="1" applyFill="1" applyBorder="1" applyAlignment="1">
      <alignment horizontal="left" vertical="top" wrapText="1"/>
    </xf>
    <xf numFmtId="0" fontId="6" fillId="4" borderId="15" xfId="0" applyFont="1" applyFill="1" applyBorder="1" applyAlignment="1">
      <alignment horizontal="right" wrapText="1"/>
    </xf>
    <xf numFmtId="0" fontId="35" fillId="4" borderId="15" xfId="0" applyFont="1" applyFill="1" applyBorder="1" applyAlignment="1">
      <alignment horizontal="right" wrapText="1"/>
    </xf>
    <xf numFmtId="1" fontId="6" fillId="4" borderId="15" xfId="0" applyNumberFormat="1" applyFont="1" applyFill="1" applyBorder="1" applyAlignment="1">
      <alignment horizontal="right"/>
    </xf>
    <xf numFmtId="1" fontId="19" fillId="4" borderId="15" xfId="0" applyNumberFormat="1" applyFont="1" applyFill="1" applyBorder="1" applyAlignment="1">
      <alignment horizontal="right"/>
    </xf>
    <xf numFmtId="0" fontId="19" fillId="4" borderId="15" xfId="0" applyFont="1" applyFill="1" applyBorder="1" applyAlignment="1">
      <alignment horizontal="right" wrapText="1"/>
    </xf>
    <xf numFmtId="164" fontId="4" fillId="0" borderId="15" xfId="0" applyNumberFormat="1" applyFont="1" applyBorder="1" applyAlignment="1">
      <alignment horizontal="right"/>
    </xf>
    <xf numFmtId="1" fontId="4" fillId="11" borderId="15" xfId="0" applyNumberFormat="1" applyFont="1" applyFill="1" applyBorder="1" applyAlignment="1">
      <alignment horizontal="center" wrapText="1"/>
    </xf>
    <xf numFmtId="0" fontId="6" fillId="24" borderId="15" xfId="0" applyFont="1" applyFill="1" applyBorder="1" applyAlignment="1">
      <alignment horizontal="center" vertical="center"/>
    </xf>
    <xf numFmtId="0" fontId="40" fillId="2" borderId="15" xfId="0" applyFont="1" applyFill="1" applyBorder="1" applyAlignment="1">
      <alignment horizontal="left" vertical="top" wrapText="1"/>
    </xf>
    <xf numFmtId="0" fontId="50" fillId="2" borderId="15" xfId="0" applyFont="1" applyFill="1" applyBorder="1" applyAlignment="1">
      <alignment horizontal="center" vertical="center" wrapText="1"/>
    </xf>
    <xf numFmtId="1" fontId="73" fillId="0" borderId="15" xfId="0" applyNumberFormat="1" applyFont="1" applyBorder="1" applyAlignment="1">
      <alignment horizontal="right" vertical="center" wrapText="1"/>
    </xf>
    <xf numFmtId="0" fontId="50" fillId="0" borderId="15" xfId="0" applyFont="1" applyBorder="1" applyAlignment="1">
      <alignment horizontal="center" vertical="center" wrapText="1"/>
    </xf>
    <xf numFmtId="0" fontId="34" fillId="0" borderId="15" xfId="0" applyFont="1" applyBorder="1" applyAlignment="1">
      <alignment horizontal="right" wrapText="1"/>
    </xf>
    <xf numFmtId="1" fontId="34" fillId="0" borderId="15" xfId="0" applyNumberFormat="1" applyFont="1" applyBorder="1" applyAlignment="1">
      <alignment horizontal="right"/>
    </xf>
    <xf numFmtId="0" fontId="19" fillId="0" borderId="15" xfId="0" applyFont="1" applyBorder="1" applyAlignment="1">
      <alignment horizontal="right"/>
    </xf>
    <xf numFmtId="1" fontId="9" fillId="11" borderId="15" xfId="0" applyNumberFormat="1" applyFont="1" applyFill="1" applyBorder="1" applyAlignment="1">
      <alignment horizontal="center"/>
    </xf>
    <xf numFmtId="0" fontId="30" fillId="2" borderId="15" xfId="0" applyFont="1" applyFill="1" applyBorder="1" applyAlignment="1">
      <alignment horizontal="right"/>
    </xf>
    <xf numFmtId="0" fontId="30" fillId="2" borderId="15" xfId="0" applyFont="1" applyFill="1" applyBorder="1" applyAlignment="1">
      <alignment horizontal="right" wrapText="1"/>
    </xf>
    <xf numFmtId="1" fontId="82" fillId="0" borderId="15" xfId="0" applyNumberFormat="1" applyFont="1" applyBorder="1" applyAlignment="1">
      <alignment horizontal="right"/>
    </xf>
    <xf numFmtId="0" fontId="83" fillId="0" borderId="15" xfId="0" applyFont="1" applyBorder="1" applyAlignment="1">
      <alignment horizontal="center" vertical="center"/>
    </xf>
    <xf numFmtId="0" fontId="81" fillId="0" borderId="15" xfId="0" applyFont="1" applyBorder="1" applyAlignment="1">
      <alignment horizontal="left" vertical="top" wrapText="1"/>
    </xf>
    <xf numFmtId="0" fontId="81" fillId="3" borderId="15" xfId="0" applyFont="1" applyFill="1" applyBorder="1" applyAlignment="1">
      <alignment horizontal="center" vertical="center" wrapText="1"/>
    </xf>
    <xf numFmtId="0" fontId="81" fillId="0" borderId="15" xfId="0" applyFont="1" applyBorder="1" applyAlignment="1">
      <alignment horizontal="right"/>
    </xf>
    <xf numFmtId="1" fontId="35" fillId="0" borderId="15" xfId="0" applyNumberFormat="1" applyFont="1" applyBorder="1" applyAlignment="1">
      <alignment horizontal="right"/>
    </xf>
    <xf numFmtId="0" fontId="40" fillId="12" borderId="15" xfId="0" applyFont="1" applyFill="1" applyBorder="1" applyAlignment="1">
      <alignment horizontal="left" vertical="top" wrapText="1"/>
    </xf>
    <xf numFmtId="0" fontId="50" fillId="12" borderId="15" xfId="0" applyFont="1" applyFill="1" applyBorder="1" applyAlignment="1">
      <alignment horizontal="center" vertical="center" wrapText="1"/>
    </xf>
    <xf numFmtId="0" fontId="6" fillId="12" borderId="15" xfId="0" applyFont="1" applyFill="1" applyBorder="1" applyAlignment="1">
      <alignment horizontal="right" wrapText="1"/>
    </xf>
    <xf numFmtId="0" fontId="35" fillId="12" borderId="15" xfId="0" applyFont="1" applyFill="1" applyBorder="1" applyAlignment="1">
      <alignment horizontal="right" wrapText="1"/>
    </xf>
    <xf numFmtId="1" fontId="6" fillId="12" borderId="15" xfId="0" applyNumberFormat="1" applyFont="1" applyFill="1" applyBorder="1" applyAlignment="1">
      <alignment horizontal="right"/>
    </xf>
    <xf numFmtId="0" fontId="50" fillId="4" borderId="15" xfId="0" applyFont="1" applyFill="1" applyBorder="1" applyAlignment="1">
      <alignment horizontal="center" vertical="center" wrapText="1"/>
    </xf>
    <xf numFmtId="0" fontId="4" fillId="14" borderId="15" xfId="0" applyFont="1" applyFill="1" applyBorder="1" applyAlignment="1">
      <alignment horizontal="center" vertical="center" wrapText="1"/>
    </xf>
    <xf numFmtId="0" fontId="14" fillId="0" borderId="15" xfId="0" applyFont="1" applyBorder="1" applyAlignment="1">
      <alignment horizontal="center" vertical="center"/>
    </xf>
    <xf numFmtId="0" fontId="6" fillId="12" borderId="15" xfId="0" applyFont="1" applyFill="1" applyBorder="1" applyAlignment="1">
      <alignment horizontal="right"/>
    </xf>
    <xf numFmtId="1" fontId="6" fillId="13" borderId="15" xfId="0" applyNumberFormat="1" applyFont="1" applyFill="1" applyBorder="1" applyAlignment="1">
      <alignment horizontal="right" wrapText="1"/>
    </xf>
    <xf numFmtId="0" fontId="54" fillId="2" borderId="15" xfId="0" applyFont="1" applyFill="1" applyBorder="1" applyAlignment="1">
      <alignment horizontal="left" vertical="top" wrapText="1"/>
    </xf>
    <xf numFmtId="1" fontId="6" fillId="23" borderId="15" xfId="0" applyNumberFormat="1" applyFont="1" applyFill="1" applyBorder="1" applyAlignment="1">
      <alignment horizontal="right"/>
    </xf>
    <xf numFmtId="1" fontId="6" fillId="16" borderId="15" xfId="0" applyNumberFormat="1" applyFont="1" applyFill="1" applyBorder="1" applyAlignment="1">
      <alignment horizontal="right"/>
    </xf>
    <xf numFmtId="0" fontId="5" fillId="4" borderId="15" xfId="0" applyFont="1" applyFill="1" applyBorder="1" applyAlignment="1">
      <alignment horizontal="center" vertical="center" wrapText="1"/>
    </xf>
    <xf numFmtId="1" fontId="4" fillId="16" borderId="15" xfId="0" applyNumberFormat="1" applyFont="1" applyFill="1" applyBorder="1" applyAlignment="1">
      <alignment horizontal="right"/>
    </xf>
    <xf numFmtId="0" fontId="32" fillId="4" borderId="15" xfId="0" applyFont="1" applyFill="1" applyBorder="1" applyAlignment="1">
      <alignment horizontal="center" vertical="center" wrapText="1"/>
    </xf>
    <xf numFmtId="0" fontId="4" fillId="0" borderId="15" xfId="0" applyFont="1" applyBorder="1" applyAlignment="1">
      <alignment horizontal="left" vertical="center"/>
    </xf>
    <xf numFmtId="0" fontId="4" fillId="0" borderId="15" xfId="0" applyFont="1" applyBorder="1" applyAlignment="1">
      <alignment horizontal="right"/>
    </xf>
    <xf numFmtId="0" fontId="3" fillId="4" borderId="15" xfId="0" applyFont="1" applyFill="1" applyBorder="1" applyAlignment="1">
      <alignment horizontal="center" vertical="center"/>
    </xf>
    <xf numFmtId="49" fontId="3" fillId="0" borderId="15" xfId="0" applyNumberFormat="1" applyFont="1" applyBorder="1" applyAlignment="1">
      <alignment horizontal="center" vertical="center"/>
    </xf>
    <xf numFmtId="0" fontId="40" fillId="2" borderId="15" xfId="0" applyFont="1" applyFill="1" applyBorder="1" applyAlignment="1">
      <alignment horizontal="left" vertical="top"/>
    </xf>
    <xf numFmtId="0" fontId="50" fillId="2" borderId="15" xfId="0" applyFont="1" applyFill="1" applyBorder="1" applyAlignment="1">
      <alignment horizontal="center" vertical="center"/>
    </xf>
    <xf numFmtId="1" fontId="6" fillId="2" borderId="15" xfId="0" applyNumberFormat="1" applyFont="1" applyFill="1" applyBorder="1" applyAlignment="1">
      <alignment horizontal="center" vertical="center"/>
    </xf>
    <xf numFmtId="0" fontId="5" fillId="0" borderId="15" xfId="0" applyFont="1" applyBorder="1" applyAlignment="1">
      <alignment vertical="center"/>
    </xf>
    <xf numFmtId="0" fontId="29" fillId="0" borderId="15" xfId="0" applyFont="1" applyBorder="1" applyAlignment="1">
      <alignment horizontal="center" vertical="center"/>
    </xf>
    <xf numFmtId="0" fontId="29" fillId="0" borderId="15" xfId="0" applyFont="1" applyBorder="1" applyAlignment="1">
      <alignment horizontal="center" vertical="center" wrapText="1"/>
    </xf>
    <xf numFmtId="0" fontId="4" fillId="0" borderId="0" xfId="0" applyFont="1" applyAlignment="1">
      <alignment horizontal="right" vertical="center"/>
    </xf>
    <xf numFmtId="0" fontId="22" fillId="0" borderId="0" xfId="0" applyFont="1"/>
    <xf numFmtId="0" fontId="102" fillId="0" borderId="0" xfId="0" applyFont="1" applyAlignment="1">
      <alignment horizontal="center"/>
    </xf>
    <xf numFmtId="0" fontId="5" fillId="0" borderId="0" xfId="0" applyFont="1" applyAlignment="1">
      <alignment horizontal="center"/>
    </xf>
    <xf numFmtId="0" fontId="12" fillId="0" borderId="0" xfId="0" applyFont="1" applyAlignment="1">
      <alignment horizontal="center"/>
    </xf>
    <xf numFmtId="0" fontId="10" fillId="0" borderId="0" xfId="0" applyFont="1" applyAlignment="1">
      <alignment horizontal="center" vertical="center"/>
    </xf>
    <xf numFmtId="0" fontId="4" fillId="4" borderId="0" xfId="0" applyFont="1" applyFill="1" applyAlignment="1">
      <alignment horizontal="center"/>
    </xf>
    <xf numFmtId="0" fontId="43" fillId="0" borderId="0" xfId="0" applyFont="1" applyAlignment="1">
      <alignment horizontal="center"/>
    </xf>
    <xf numFmtId="0" fontId="23" fillId="0" borderId="0" xfId="0" applyFont="1" applyAlignment="1">
      <alignment horizontal="center" vertical="center"/>
    </xf>
    <xf numFmtId="0" fontId="4" fillId="11" borderId="0" xfId="0" applyFont="1" applyFill="1" applyAlignment="1">
      <alignment horizontal="center" vertical="center"/>
    </xf>
    <xf numFmtId="0" fontId="13" fillId="0" borderId="0" xfId="0" applyFont="1"/>
    <xf numFmtId="0" fontId="4" fillId="13" borderId="0" xfId="0" applyFont="1" applyFill="1" applyAlignment="1">
      <alignment horizontal="center"/>
    </xf>
    <xf numFmtId="0" fontId="23" fillId="0" borderId="0" xfId="0" applyFont="1" applyAlignment="1">
      <alignment horizontal="center"/>
    </xf>
    <xf numFmtId="0" fontId="23" fillId="0" borderId="0" xfId="0" applyFont="1" applyAlignment="1">
      <alignment horizontal="right" vertical="center"/>
    </xf>
    <xf numFmtId="0" fontId="43" fillId="0" borderId="0" xfId="0" applyFont="1" applyAlignment="1">
      <alignment horizontal="center" vertical="center"/>
    </xf>
    <xf numFmtId="0" fontId="81" fillId="0" borderId="0" xfId="0" applyFont="1"/>
    <xf numFmtId="0" fontId="14" fillId="0" borderId="0" xfId="0" applyFont="1" applyAlignment="1">
      <alignment horizontal="center"/>
    </xf>
    <xf numFmtId="0" fontId="108" fillId="0" borderId="0" xfId="0" applyFont="1" applyAlignment="1">
      <alignment horizontal="center" vertical="center"/>
    </xf>
    <xf numFmtId="0" fontId="109" fillId="0" borderId="0" xfId="0" applyFont="1"/>
    <xf numFmtId="0" fontId="110" fillId="0" borderId="15" xfId="0" applyFont="1" applyBorder="1" applyAlignment="1">
      <alignment horizontal="center" vertical="center" wrapText="1"/>
    </xf>
    <xf numFmtId="0" fontId="111" fillId="0" borderId="15" xfId="0" applyFont="1" applyBorder="1" applyAlignment="1">
      <alignment horizontal="center" vertical="center" wrapText="1"/>
    </xf>
    <xf numFmtId="0" fontId="112" fillId="0" borderId="15" xfId="0" applyFont="1" applyBorder="1" applyAlignment="1">
      <alignment horizontal="center" vertical="center" wrapText="1"/>
    </xf>
    <xf numFmtId="0" fontId="108" fillId="0" borderId="0" xfId="0" applyFont="1" applyAlignment="1">
      <alignment vertical="center"/>
    </xf>
    <xf numFmtId="0" fontId="113" fillId="0" borderId="0" xfId="0" applyFont="1" applyAlignment="1">
      <alignment horizontal="center" vertical="center"/>
    </xf>
    <xf numFmtId="0" fontId="0" fillId="0" borderId="15" xfId="0" applyBorder="1"/>
    <xf numFmtId="0" fontId="115" fillId="0" borderId="0" xfId="0" applyFont="1" applyAlignment="1">
      <alignment horizontal="justify" vertical="center"/>
    </xf>
    <xf numFmtId="0" fontId="116" fillId="2" borderId="15" xfId="0" applyFont="1" applyFill="1" applyBorder="1" applyAlignment="1">
      <alignment horizontal="right" wrapText="1"/>
    </xf>
    <xf numFmtId="0" fontId="117" fillId="2" borderId="15" xfId="0" applyFont="1" applyFill="1" applyBorder="1" applyAlignment="1">
      <alignment horizontal="right" wrapText="1"/>
    </xf>
    <xf numFmtId="1" fontId="116" fillId="2" borderId="15" xfId="0" applyNumberFormat="1" applyFont="1" applyFill="1" applyBorder="1" applyAlignment="1">
      <alignment horizontal="right"/>
    </xf>
    <xf numFmtId="0" fontId="36" fillId="0" borderId="0" xfId="0" applyFont="1" applyAlignment="1">
      <alignment horizontal="center"/>
    </xf>
    <xf numFmtId="2" fontId="36" fillId="0" borderId="0" xfId="0" applyNumberFormat="1" applyFont="1" applyAlignment="1">
      <alignment horizontal="center"/>
    </xf>
    <xf numFmtId="0" fontId="6" fillId="14" borderId="15" xfId="0" applyFont="1" applyFill="1" applyBorder="1" applyAlignment="1">
      <alignment horizontal="center" vertical="center" wrapText="1"/>
    </xf>
    <xf numFmtId="0" fontId="20" fillId="12" borderId="0" xfId="0" applyFont="1" applyFill="1" applyAlignment="1">
      <alignment vertical="center"/>
    </xf>
    <xf numFmtId="1" fontId="2" fillId="16" borderId="15" xfId="0" applyNumberFormat="1" applyFont="1" applyFill="1" applyBorder="1" applyAlignment="1">
      <alignment horizontal="right"/>
    </xf>
    <xf numFmtId="0" fontId="4" fillId="16" borderId="15" xfId="0" applyFont="1" applyFill="1" applyBorder="1" applyAlignment="1">
      <alignment horizontal="left" vertical="top" wrapText="1"/>
    </xf>
    <xf numFmtId="0" fontId="5" fillId="16" borderId="15" xfId="0" applyFont="1" applyFill="1" applyBorder="1" applyAlignment="1">
      <alignment horizontal="center" vertical="center" wrapText="1"/>
    </xf>
    <xf numFmtId="0" fontId="4" fillId="16" borderId="15" xfId="0" applyFont="1" applyFill="1" applyBorder="1" applyAlignment="1">
      <alignment horizontal="right"/>
    </xf>
    <xf numFmtId="1" fontId="4" fillId="16" borderId="15" xfId="0" applyNumberFormat="1" applyFont="1" applyFill="1" applyBorder="1" applyAlignment="1">
      <alignment horizontal="right" wrapText="1"/>
    </xf>
    <xf numFmtId="164" fontId="4" fillId="16" borderId="15" xfId="0" applyNumberFormat="1" applyFont="1" applyFill="1" applyBorder="1" applyAlignment="1">
      <alignment horizontal="right" wrapText="1"/>
    </xf>
    <xf numFmtId="0" fontId="4" fillId="16" borderId="0" xfId="0" applyFont="1" applyFill="1"/>
    <xf numFmtId="0" fontId="42" fillId="0" borderId="0" xfId="0" applyFont="1" applyAlignment="1">
      <alignment horizontal="center"/>
    </xf>
    <xf numFmtId="0" fontId="121" fillId="0" borderId="0" xfId="0" applyFont="1" applyAlignment="1">
      <alignment horizontal="center"/>
    </xf>
    <xf numFmtId="0" fontId="29" fillId="0" borderId="15" xfId="0" applyFont="1" applyBorder="1" applyAlignment="1">
      <alignment horizontal="center" wrapText="1"/>
    </xf>
    <xf numFmtId="0" fontId="10" fillId="0" borderId="15" xfId="0" applyFont="1" applyBorder="1" applyAlignment="1">
      <alignment horizontal="center"/>
    </xf>
    <xf numFmtId="1" fontId="95" fillId="0" borderId="15" xfId="0" applyNumberFormat="1" applyFont="1" applyBorder="1" applyAlignment="1">
      <alignment horizontal="right"/>
    </xf>
    <xf numFmtId="1" fontId="95" fillId="0" borderId="15" xfId="0" applyNumberFormat="1" applyFont="1" applyBorder="1" applyAlignment="1">
      <alignment horizontal="right" wrapText="1"/>
    </xf>
    <xf numFmtId="0" fontId="95" fillId="0" borderId="15" xfId="0" applyFont="1" applyBorder="1" applyAlignment="1">
      <alignment horizontal="center"/>
    </xf>
    <xf numFmtId="0" fontId="14" fillId="0" borderId="15" xfId="0" applyFont="1" applyBorder="1" applyAlignment="1">
      <alignment horizontal="center"/>
    </xf>
    <xf numFmtId="0" fontId="14" fillId="0" borderId="15" xfId="0" applyFont="1" applyBorder="1" applyAlignment="1">
      <alignment horizontal="center" wrapText="1"/>
    </xf>
    <xf numFmtId="0" fontId="5" fillId="0" borderId="15" xfId="0" applyFont="1" applyBorder="1" applyAlignment="1">
      <alignment horizontal="center"/>
    </xf>
    <xf numFmtId="49" fontId="123" fillId="18" borderId="15" xfId="0" applyNumberFormat="1" applyFont="1" applyFill="1" applyBorder="1" applyAlignment="1">
      <alignment horizontal="center" vertical="center" wrapText="1"/>
    </xf>
    <xf numFmtId="0" fontId="124" fillId="18" borderId="15" xfId="0" applyFont="1" applyFill="1" applyBorder="1" applyAlignment="1">
      <alignment horizontal="right" wrapText="1"/>
    </xf>
    <xf numFmtId="1" fontId="124" fillId="18" borderId="15" xfId="0" applyNumberFormat="1" applyFont="1" applyFill="1" applyBorder="1" applyAlignment="1">
      <alignment horizontal="right"/>
    </xf>
    <xf numFmtId="1" fontId="124" fillId="2" borderId="15" xfId="0" applyNumberFormat="1" applyFont="1" applyFill="1" applyBorder="1" applyAlignment="1">
      <alignment horizontal="right" wrapText="1"/>
    </xf>
    <xf numFmtId="1" fontId="124" fillId="2" borderId="15" xfId="0" applyNumberFormat="1" applyFont="1" applyFill="1" applyBorder="1" applyAlignment="1">
      <alignment horizontal="right"/>
    </xf>
    <xf numFmtId="0" fontId="81" fillId="19" borderId="15" xfId="0" applyFont="1" applyFill="1" applyBorder="1" applyAlignment="1">
      <alignment horizontal="center" vertical="center" wrapText="1"/>
    </xf>
    <xf numFmtId="0" fontId="81" fillId="2" borderId="15" xfId="0" applyFont="1" applyFill="1" applyBorder="1" applyAlignment="1">
      <alignment horizontal="center" vertical="center" wrapText="1"/>
    </xf>
    <xf numFmtId="1" fontId="81" fillId="2" borderId="15" xfId="0" applyNumberFormat="1" applyFont="1" applyFill="1" applyBorder="1" applyAlignment="1">
      <alignment horizontal="center" vertical="center" wrapText="1"/>
    </xf>
    <xf numFmtId="0" fontId="81" fillId="2" borderId="15" xfId="0" applyFont="1" applyFill="1" applyBorder="1" applyAlignment="1">
      <alignment horizontal="center" vertical="center"/>
    </xf>
    <xf numFmtId="0" fontId="4" fillId="0" borderId="0" xfId="0" applyFont="1" applyAlignment="1">
      <alignment vertical="center"/>
    </xf>
    <xf numFmtId="0" fontId="92" fillId="0" borderId="0" xfId="0" applyFont="1" applyAlignment="1">
      <alignment vertical="center"/>
    </xf>
    <xf numFmtId="0" fontId="87" fillId="0" borderId="0" xfId="0" applyFont="1" applyAlignment="1">
      <alignment horizontal="left" vertical="center"/>
    </xf>
    <xf numFmtId="0" fontId="101" fillId="0" borderId="0" xfId="0" applyFont="1" applyAlignment="1">
      <alignment vertical="center"/>
    </xf>
    <xf numFmtId="0" fontId="89" fillId="0" borderId="0" xfId="0" applyFont="1" applyAlignment="1">
      <alignment vertical="center"/>
    </xf>
    <xf numFmtId="0" fontId="13" fillId="0" borderId="0" xfId="0" applyFont="1" applyAlignment="1">
      <alignment horizontal="center"/>
    </xf>
    <xf numFmtId="0" fontId="14" fillId="0" borderId="0" xfId="0" applyFont="1"/>
    <xf numFmtId="0" fontId="22" fillId="0" borderId="0" xfId="0" applyFont="1" applyAlignment="1">
      <alignment horizontal="center"/>
    </xf>
    <xf numFmtId="0" fontId="30" fillId="0" borderId="15" xfId="2" applyFont="1" applyBorder="1" applyAlignment="1">
      <alignment horizontal="center" vertical="center" wrapText="1"/>
    </xf>
    <xf numFmtId="0" fontId="12" fillId="0" borderId="15" xfId="0" applyFont="1" applyBorder="1" applyAlignment="1">
      <alignment horizontal="center" vertical="center" wrapText="1"/>
    </xf>
    <xf numFmtId="0" fontId="31" fillId="0" borderId="15" xfId="0" applyFont="1" applyBorder="1" applyAlignment="1">
      <alignment horizontal="center" vertical="center" wrapText="1"/>
    </xf>
    <xf numFmtId="0" fontId="10" fillId="0" borderId="0" xfId="0" applyFont="1" applyAlignment="1">
      <alignment horizontal="center" vertical="center" wrapText="1"/>
    </xf>
    <xf numFmtId="0" fontId="12" fillId="0" borderId="15" xfId="0" applyFont="1" applyBorder="1" applyAlignment="1">
      <alignment horizontal="center" wrapText="1"/>
    </xf>
    <xf numFmtId="0" fontId="31" fillId="0" borderId="15" xfId="0" applyFont="1" applyBorder="1" applyAlignment="1">
      <alignment horizontal="center"/>
    </xf>
    <xf numFmtId="0" fontId="92" fillId="0" borderId="15" xfId="0" applyFont="1" applyBorder="1" applyAlignment="1">
      <alignment horizontal="center" vertical="center" wrapText="1"/>
    </xf>
    <xf numFmtId="0" fontId="104" fillId="0" borderId="15" xfId="0" applyFont="1" applyBorder="1" applyAlignment="1">
      <alignment vertical="center" wrapText="1"/>
    </xf>
    <xf numFmtId="0" fontId="9" fillId="0" borderId="15" xfId="0" applyFont="1" applyBorder="1" applyAlignment="1">
      <alignment horizontal="center" vertical="center" wrapText="1"/>
    </xf>
    <xf numFmtId="0" fontId="1" fillId="0" borderId="15" xfId="2" applyBorder="1" applyAlignment="1">
      <alignment horizontal="center"/>
    </xf>
    <xf numFmtId="165" fontId="12" fillId="0" borderId="15" xfId="0" applyNumberFormat="1" applyFont="1" applyBorder="1" applyAlignment="1">
      <alignment horizontal="center"/>
    </xf>
    <xf numFmtId="0" fontId="43" fillId="0" borderId="15" xfId="0" applyFont="1" applyBorder="1" applyAlignment="1">
      <alignment horizontal="center" wrapText="1"/>
    </xf>
    <xf numFmtId="2" fontId="4" fillId="0" borderId="15" xfId="0" applyNumberFormat="1" applyFont="1" applyBorder="1" applyAlignment="1">
      <alignment horizontal="center"/>
    </xf>
    <xf numFmtId="167" fontId="4" fillId="0" borderId="15" xfId="0" applyNumberFormat="1" applyFont="1" applyBorder="1" applyAlignment="1">
      <alignment horizontal="center"/>
    </xf>
    <xf numFmtId="0" fontId="1" fillId="0" borderId="15" xfId="2" applyBorder="1" applyAlignment="1">
      <alignment horizontal="center" wrapText="1"/>
    </xf>
    <xf numFmtId="0" fontId="4" fillId="0" borderId="15" xfId="0" applyFont="1" applyBorder="1"/>
    <xf numFmtId="0" fontId="47" fillId="0" borderId="0" xfId="0" applyFont="1"/>
    <xf numFmtId="0" fontId="79" fillId="0" borderId="0" xfId="0" applyFont="1" applyAlignment="1">
      <alignment horizontal="center" vertical="center"/>
    </xf>
    <xf numFmtId="164" fontId="4" fillId="0" borderId="0" xfId="0" applyNumberFormat="1" applyFont="1" applyAlignment="1">
      <alignment horizontal="center" vertical="center"/>
    </xf>
    <xf numFmtId="0" fontId="12" fillId="0" borderId="15" xfId="0" applyFont="1" applyBorder="1" applyAlignment="1">
      <alignment horizontal="center"/>
    </xf>
    <xf numFmtId="166" fontId="12" fillId="0" borderId="15" xfId="0" applyNumberFormat="1" applyFont="1" applyBorder="1" applyAlignment="1">
      <alignment horizontal="center"/>
    </xf>
    <xf numFmtId="167" fontId="31" fillId="0" borderId="15" xfId="0" applyNumberFormat="1" applyFont="1" applyBorder="1" applyAlignment="1">
      <alignment horizontal="center"/>
    </xf>
    <xf numFmtId="0" fontId="13" fillId="0" borderId="0" xfId="0" applyFont="1" applyAlignment="1">
      <alignment horizontal="right" vertical="center"/>
    </xf>
    <xf numFmtId="0" fontId="48" fillId="0" borderId="15" xfId="2" applyFont="1" applyBorder="1" applyAlignment="1">
      <alignment horizontal="center"/>
    </xf>
    <xf numFmtId="165" fontId="14" fillId="0" borderId="15" xfId="0" applyNumberFormat="1" applyFont="1" applyBorder="1" applyAlignment="1">
      <alignment horizontal="center"/>
    </xf>
    <xf numFmtId="0" fontId="47" fillId="0" borderId="0" xfId="0" applyFont="1" applyAlignment="1">
      <alignment horizontal="center"/>
    </xf>
    <xf numFmtId="0" fontId="48" fillId="0" borderId="15" xfId="2" applyFont="1" applyBorder="1" applyAlignment="1">
      <alignment horizontal="center" wrapText="1"/>
    </xf>
    <xf numFmtId="0" fontId="84" fillId="0" borderId="15" xfId="0" applyFont="1" applyBorder="1" applyAlignment="1">
      <alignment horizontal="center"/>
    </xf>
    <xf numFmtId="0" fontId="81" fillId="0" borderId="15" xfId="0" applyFont="1" applyBorder="1"/>
    <xf numFmtId="0" fontId="86" fillId="0" borderId="0" xfId="0" applyFont="1"/>
    <xf numFmtId="0" fontId="23" fillId="0" borderId="0" xfId="0" applyFont="1"/>
    <xf numFmtId="0" fontId="31" fillId="0" borderId="0" xfId="0" applyFont="1" applyAlignment="1">
      <alignment horizontal="center"/>
    </xf>
    <xf numFmtId="0" fontId="10" fillId="0" borderId="15" xfId="0" applyFont="1" applyBorder="1" applyAlignment="1">
      <alignment horizontal="center" vertical="center"/>
    </xf>
    <xf numFmtId="0" fontId="125" fillId="28" borderId="15" xfId="0" applyFont="1" applyFill="1" applyBorder="1" applyAlignment="1">
      <alignment horizontal="center" vertical="center" wrapText="1"/>
    </xf>
    <xf numFmtId="14" fontId="125" fillId="28" borderId="16" xfId="0" applyNumberFormat="1" applyFont="1" applyFill="1" applyBorder="1" applyAlignment="1">
      <alignment horizontal="center" vertical="center" wrapText="1"/>
    </xf>
    <xf numFmtId="14" fontId="125" fillId="28" borderId="15" xfId="0" applyNumberFormat="1" applyFont="1" applyFill="1" applyBorder="1" applyAlignment="1">
      <alignment horizontal="center" vertical="center" wrapText="1"/>
    </xf>
    <xf numFmtId="14" fontId="125" fillId="28" borderId="17" xfId="0" applyNumberFormat="1" applyFont="1" applyFill="1" applyBorder="1" applyAlignment="1">
      <alignment horizontal="center" vertical="center" wrapText="1"/>
    </xf>
    <xf numFmtId="14" fontId="125" fillId="28" borderId="31" xfId="0" applyNumberFormat="1" applyFont="1" applyFill="1" applyBorder="1" applyAlignment="1">
      <alignment horizontal="center" vertical="center" wrapText="1"/>
    </xf>
    <xf numFmtId="0" fontId="125" fillId="0" borderId="15" xfId="0" applyFont="1" applyBorder="1" applyAlignment="1">
      <alignment horizontal="center" vertical="center" wrapText="1"/>
    </xf>
    <xf numFmtId="0" fontId="126" fillId="28" borderId="15" xfId="0" applyFont="1" applyFill="1" applyBorder="1" applyAlignment="1">
      <alignment horizontal="center" vertical="center" wrapText="1"/>
    </xf>
    <xf numFmtId="0" fontId="125" fillId="0" borderId="0" xfId="0" applyFont="1" applyAlignment="1">
      <alignment horizontal="center"/>
    </xf>
    <xf numFmtId="164" fontId="125" fillId="2" borderId="15" xfId="0" applyNumberFormat="1" applyFont="1" applyFill="1" applyBorder="1" applyAlignment="1">
      <alignment horizontal="center" vertical="center" wrapText="1"/>
    </xf>
    <xf numFmtId="0" fontId="125" fillId="0" borderId="0" xfId="0" applyFont="1" applyAlignment="1">
      <alignment horizontal="center" vertical="center" wrapText="1"/>
    </xf>
    <xf numFmtId="0" fontId="3" fillId="0" borderId="0" xfId="0" applyFont="1" applyAlignment="1">
      <alignment horizontal="center"/>
    </xf>
    <xf numFmtId="164" fontId="129" fillId="2" borderId="15" xfId="0" applyNumberFormat="1" applyFont="1" applyFill="1" applyBorder="1" applyAlignment="1">
      <alignment horizontal="right" wrapText="1"/>
    </xf>
    <xf numFmtId="0" fontId="3" fillId="0" borderId="15" xfId="0" applyFont="1" applyBorder="1" applyAlignment="1">
      <alignment horizontal="center"/>
    </xf>
    <xf numFmtId="0" fontId="130" fillId="0" borderId="15" xfId="0" applyFont="1" applyBorder="1" applyAlignment="1">
      <alignment horizontal="center"/>
    </xf>
    <xf numFmtId="0" fontId="130" fillId="0" borderId="15" xfId="0" applyFont="1" applyBorder="1" applyAlignment="1">
      <alignment horizontal="center" vertical="center" wrapText="1"/>
    </xf>
    <xf numFmtId="0" fontId="83" fillId="0" borderId="15" xfId="0" applyFont="1" applyBorder="1" applyAlignment="1">
      <alignment horizontal="center"/>
    </xf>
    <xf numFmtId="0" fontId="36" fillId="13" borderId="0" xfId="0" applyFont="1" applyFill="1" applyAlignment="1">
      <alignment horizontal="center"/>
    </xf>
    <xf numFmtId="2" fontId="36" fillId="13" borderId="0" xfId="0" applyNumberFormat="1" applyFont="1" applyFill="1" applyAlignment="1">
      <alignment horizontal="center"/>
    </xf>
    <xf numFmtId="0" fontId="3" fillId="13" borderId="0" xfId="0" applyFont="1" applyFill="1" applyAlignment="1">
      <alignment horizontal="center" vertical="center" wrapText="1"/>
    </xf>
    <xf numFmtId="164" fontId="19" fillId="13" borderId="0" xfId="0" applyNumberFormat="1" applyFont="1" applyFill="1" applyAlignment="1">
      <alignment horizontal="right" wrapText="1"/>
    </xf>
    <xf numFmtId="0" fontId="36" fillId="13" borderId="0" xfId="0" applyFont="1" applyFill="1" applyAlignment="1">
      <alignment horizontal="center" wrapText="1"/>
    </xf>
    <xf numFmtId="0" fontId="36" fillId="13" borderId="0" xfId="0" applyFont="1" applyFill="1" applyAlignment="1">
      <alignment horizontal="center" vertical="center" wrapText="1"/>
    </xf>
    <xf numFmtId="0" fontId="15" fillId="13" borderId="0" xfId="0" applyFont="1" applyFill="1" applyAlignment="1">
      <alignment horizontal="center" vertical="center" wrapText="1"/>
    </xf>
    <xf numFmtId="0" fontId="36" fillId="13" borderId="0" xfId="0" applyFont="1" applyFill="1" applyAlignment="1">
      <alignment horizontal="center" vertical="center"/>
    </xf>
    <xf numFmtId="0" fontId="81" fillId="13" borderId="0" xfId="0" applyFont="1" applyFill="1" applyAlignment="1">
      <alignment horizontal="center"/>
    </xf>
    <xf numFmtId="0" fontId="3" fillId="0" borderId="33" xfId="0" applyFont="1" applyBorder="1" applyAlignment="1">
      <alignment horizontal="center" vertical="center" wrapText="1"/>
    </xf>
    <xf numFmtId="0" fontId="45" fillId="0" borderId="33" xfId="2" applyFont="1" applyBorder="1" applyAlignment="1">
      <alignment horizontal="center" vertical="center" wrapText="1"/>
    </xf>
    <xf numFmtId="164" fontId="19" fillId="2" borderId="35" xfId="0" applyNumberFormat="1" applyFont="1" applyFill="1" applyBorder="1" applyAlignment="1">
      <alignment horizontal="right" wrapText="1"/>
    </xf>
    <xf numFmtId="164" fontId="19" fillId="2" borderId="36" xfId="0" applyNumberFormat="1" applyFont="1" applyFill="1" applyBorder="1" applyAlignment="1">
      <alignment horizontal="right" wrapText="1"/>
    </xf>
    <xf numFmtId="0" fontId="36" fillId="0" borderId="36" xfId="0" applyFont="1" applyBorder="1" applyAlignment="1">
      <alignment horizontal="center" wrapText="1"/>
    </xf>
    <xf numFmtId="0" fontId="41" fillId="0" borderId="35" xfId="0" applyFont="1" applyBorder="1" applyAlignment="1">
      <alignment horizontal="center" wrapText="1"/>
    </xf>
    <xf numFmtId="0" fontId="38" fillId="0" borderId="35" xfId="0" applyFont="1" applyBorder="1" applyAlignment="1">
      <alignment horizontal="center" wrapText="1"/>
    </xf>
    <xf numFmtId="0" fontId="4" fillId="0" borderId="35" xfId="0" applyFont="1" applyBorder="1" applyAlignment="1">
      <alignment horizontal="center"/>
    </xf>
    <xf numFmtId="0" fontId="36" fillId="0" borderId="36" xfId="0" applyFont="1" applyBorder="1" applyAlignment="1">
      <alignment horizontal="center"/>
    </xf>
    <xf numFmtId="0" fontId="36" fillId="0" borderId="36" xfId="0" applyFont="1" applyBorder="1" applyAlignment="1">
      <alignment horizontal="center" vertical="center" wrapText="1"/>
    </xf>
    <xf numFmtId="0" fontId="4" fillId="0" borderId="35" xfId="0" applyFont="1" applyBorder="1" applyAlignment="1">
      <alignment horizontal="center" vertical="center"/>
    </xf>
    <xf numFmtId="0" fontId="15" fillId="0" borderId="36" xfId="0" applyFont="1" applyBorder="1" applyAlignment="1">
      <alignment horizontal="center" vertical="center" wrapText="1"/>
    </xf>
    <xf numFmtId="0" fontId="95" fillId="0" borderId="35" xfId="0" applyFont="1" applyBorder="1" applyAlignment="1">
      <alignment horizontal="center"/>
    </xf>
    <xf numFmtId="0" fontId="36" fillId="0" borderId="36" xfId="0" applyFont="1" applyBorder="1" applyAlignment="1">
      <alignment horizontal="center" vertical="center"/>
    </xf>
    <xf numFmtId="0" fontId="4" fillId="0" borderId="36" xfId="0" applyFont="1" applyBorder="1" applyAlignment="1">
      <alignment horizontal="center"/>
    </xf>
    <xf numFmtId="0" fontId="19" fillId="0" borderId="35" xfId="0" applyFont="1" applyBorder="1" applyAlignment="1">
      <alignment horizontal="center"/>
    </xf>
    <xf numFmtId="0" fontId="81" fillId="0" borderId="35" xfId="0" applyFont="1" applyBorder="1" applyAlignment="1">
      <alignment horizontal="center"/>
    </xf>
    <xf numFmtId="0" fontId="81" fillId="0" borderId="36" xfId="0" applyFont="1" applyBorder="1" applyAlignment="1">
      <alignment horizontal="center"/>
    </xf>
    <xf numFmtId="164" fontId="19" fillId="2" borderId="37" xfId="0" applyNumberFormat="1" applyFont="1" applyFill="1" applyBorder="1" applyAlignment="1">
      <alignment horizontal="right" wrapText="1"/>
    </xf>
    <xf numFmtId="164" fontId="19" fillId="2" borderId="38" xfId="0" applyNumberFormat="1" applyFont="1" applyFill="1" applyBorder="1" applyAlignment="1">
      <alignment horizontal="right" wrapText="1"/>
    </xf>
    <xf numFmtId="164" fontId="125" fillId="2" borderId="38" xfId="0" applyNumberFormat="1" applyFont="1" applyFill="1" applyBorder="1" applyAlignment="1">
      <alignment horizontal="center" vertical="center" wrapText="1"/>
    </xf>
    <xf numFmtId="164" fontId="129" fillId="2" borderId="38" xfId="0" applyNumberFormat="1" applyFont="1" applyFill="1" applyBorder="1" applyAlignment="1">
      <alignment horizontal="right" wrapText="1"/>
    </xf>
    <xf numFmtId="164" fontId="19" fillId="2" borderId="39" xfId="0" applyNumberFormat="1" applyFont="1" applyFill="1" applyBorder="1" applyAlignment="1">
      <alignment horizontal="right" wrapText="1"/>
    </xf>
    <xf numFmtId="0" fontId="10" fillId="13" borderId="0" xfId="0" applyFont="1" applyFill="1" applyAlignment="1">
      <alignment horizontal="center" vertical="center"/>
    </xf>
    <xf numFmtId="0" fontId="10" fillId="13" borderId="0" xfId="0" applyFont="1" applyFill="1" applyAlignment="1">
      <alignment horizontal="center"/>
    </xf>
    <xf numFmtId="0" fontId="4" fillId="13" borderId="0" xfId="0" applyFont="1" applyFill="1" applyAlignment="1">
      <alignment horizontal="center" vertical="center"/>
    </xf>
    <xf numFmtId="0" fontId="4" fillId="13" borderId="0" xfId="0" applyFont="1" applyFill="1" applyAlignment="1">
      <alignment horizontal="right" vertical="center"/>
    </xf>
    <xf numFmtId="0" fontId="81" fillId="13" borderId="0" xfId="0" applyFont="1" applyFill="1"/>
    <xf numFmtId="0" fontId="2" fillId="0" borderId="35" xfId="0" applyFont="1" applyBorder="1" applyAlignment="1">
      <alignment horizontal="left" vertical="top" wrapText="1"/>
    </xf>
    <xf numFmtId="1" fontId="6" fillId="13" borderId="0" xfId="0" applyNumberFormat="1" applyFont="1" applyFill="1" applyAlignment="1">
      <alignment horizontal="right"/>
    </xf>
    <xf numFmtId="0" fontId="6" fillId="13" borderId="0" xfId="0" applyFont="1" applyFill="1" applyAlignment="1">
      <alignment horizontal="right"/>
    </xf>
    <xf numFmtId="1" fontId="8" fillId="13" borderId="0" xfId="0" applyNumberFormat="1" applyFont="1" applyFill="1" applyAlignment="1">
      <alignment horizontal="right"/>
    </xf>
    <xf numFmtId="0" fontId="8" fillId="13" borderId="0" xfId="0" applyFont="1" applyFill="1" applyAlignment="1">
      <alignment horizontal="right"/>
    </xf>
    <xf numFmtId="1" fontId="9" fillId="13" borderId="0" xfId="0" applyNumberFormat="1" applyFont="1" applyFill="1" applyAlignment="1">
      <alignment horizontal="center"/>
    </xf>
    <xf numFmtId="1" fontId="4" fillId="13" borderId="0" xfId="0" applyNumberFormat="1" applyFont="1" applyFill="1" applyAlignment="1">
      <alignment horizontal="right"/>
    </xf>
    <xf numFmtId="0" fontId="4" fillId="13" borderId="0" xfId="0" applyFont="1" applyFill="1" applyAlignment="1">
      <alignment horizontal="right"/>
    </xf>
    <xf numFmtId="1" fontId="4" fillId="13" borderId="0" xfId="0" applyNumberFormat="1" applyFont="1" applyFill="1" applyAlignment="1">
      <alignment horizontal="center"/>
    </xf>
    <xf numFmtId="0" fontId="6" fillId="13" borderId="0" xfId="0" applyFont="1" applyFill="1" applyAlignment="1">
      <alignment horizontal="center"/>
    </xf>
    <xf numFmtId="1" fontId="6" fillId="13" borderId="0" xfId="0" applyNumberFormat="1" applyFont="1" applyFill="1" applyAlignment="1">
      <alignment horizontal="center"/>
    </xf>
    <xf numFmtId="0" fontId="20" fillId="13" borderId="0" xfId="0" applyFont="1" applyFill="1" applyAlignment="1">
      <alignment horizontal="center" vertical="center"/>
    </xf>
    <xf numFmtId="0" fontId="21" fillId="13" borderId="0" xfId="0" applyFont="1" applyFill="1" applyAlignment="1">
      <alignment horizontal="right"/>
    </xf>
    <xf numFmtId="0" fontId="21" fillId="13" borderId="0" xfId="0" applyFont="1" applyFill="1" applyAlignment="1">
      <alignment horizontal="center"/>
    </xf>
    <xf numFmtId="0" fontId="26" fillId="13" borderId="0" xfId="0" applyFont="1" applyFill="1" applyAlignment="1">
      <alignment horizontal="right" wrapText="1"/>
    </xf>
    <xf numFmtId="1" fontId="26" fillId="13" borderId="0" xfId="0" applyNumberFormat="1" applyFont="1" applyFill="1" applyAlignment="1">
      <alignment horizontal="right" wrapText="1"/>
    </xf>
    <xf numFmtId="1" fontId="0" fillId="13" borderId="0" xfId="0" applyNumberFormat="1" applyFill="1" applyAlignment="1">
      <alignment horizontal="right" wrapText="1"/>
    </xf>
    <xf numFmtId="0" fontId="28" fillId="13" borderId="0" xfId="0" applyFont="1" applyFill="1" applyAlignment="1">
      <alignment horizontal="right" wrapText="1"/>
    </xf>
    <xf numFmtId="0" fontId="28" fillId="13" borderId="0" xfId="0" applyFont="1" applyFill="1" applyAlignment="1">
      <alignment horizontal="center" vertical="center" wrapText="1"/>
    </xf>
    <xf numFmtId="1" fontId="18" fillId="13" borderId="0" xfId="0" applyNumberFormat="1" applyFont="1" applyFill="1" applyAlignment="1">
      <alignment horizontal="right" wrapText="1"/>
    </xf>
    <xf numFmtId="0" fontId="92" fillId="29" borderId="15" xfId="0" applyFont="1" applyFill="1" applyBorder="1" applyAlignment="1">
      <alignment horizontal="left" vertical="center" wrapText="1"/>
    </xf>
    <xf numFmtId="0" fontId="87" fillId="29" borderId="15" xfId="0" applyFont="1" applyFill="1" applyBorder="1" applyAlignment="1">
      <alignment horizontal="left" vertical="center" wrapText="1"/>
    </xf>
    <xf numFmtId="0" fontId="2" fillId="29" borderId="35" xfId="0" applyFont="1" applyFill="1" applyBorder="1" applyAlignment="1">
      <alignment horizontal="left" vertical="top" wrapText="1"/>
    </xf>
    <xf numFmtId="0" fontId="2" fillId="29" borderId="15" xfId="0" applyFont="1" applyFill="1" applyBorder="1" applyAlignment="1">
      <alignment horizontal="left" vertical="top" wrapText="1"/>
    </xf>
    <xf numFmtId="0" fontId="92" fillId="29" borderId="15" xfId="0" applyFont="1" applyFill="1" applyBorder="1" applyAlignment="1">
      <alignment horizontal="center" vertical="center" wrapText="1"/>
    </xf>
    <xf numFmtId="0" fontId="87" fillId="29" borderId="15" xfId="0" applyFont="1" applyFill="1" applyBorder="1" applyAlignment="1">
      <alignment horizontal="left" vertical="top" wrapText="1"/>
    </xf>
    <xf numFmtId="0" fontId="104" fillId="29" borderId="15" xfId="0" applyFont="1" applyFill="1" applyBorder="1" applyAlignment="1">
      <alignment vertical="center" wrapText="1"/>
    </xf>
    <xf numFmtId="0" fontId="89" fillId="29" borderId="36" xfId="0" applyFont="1" applyFill="1" applyBorder="1" applyAlignment="1">
      <alignment horizontal="center" vertical="center" wrapText="1"/>
    </xf>
    <xf numFmtId="0" fontId="92" fillId="29" borderId="15" xfId="0" applyFont="1" applyFill="1" applyBorder="1" applyAlignment="1">
      <alignment vertical="center" wrapText="1"/>
    </xf>
    <xf numFmtId="0" fontId="87" fillId="29" borderId="15" xfId="1" applyNumberFormat="1" applyFont="1" applyFill="1" applyBorder="1" applyAlignment="1" applyProtection="1">
      <alignment horizontal="center" vertical="center" wrapText="1"/>
    </xf>
    <xf numFmtId="0" fontId="89" fillId="29" borderId="36" xfId="0" applyFont="1" applyFill="1" applyBorder="1" applyAlignment="1">
      <alignment vertical="center" wrapText="1"/>
    </xf>
    <xf numFmtId="0" fontId="105" fillId="29" borderId="15" xfId="0" applyFont="1" applyFill="1" applyBorder="1" applyAlignment="1">
      <alignment horizontal="center" vertical="center" wrapText="1"/>
    </xf>
    <xf numFmtId="0" fontId="93" fillId="29" borderId="15" xfId="1" applyFont="1" applyFill="1" applyBorder="1" applyAlignment="1">
      <alignment vertical="center" wrapText="1"/>
    </xf>
    <xf numFmtId="0" fontId="101" fillId="29" borderId="15" xfId="0" applyFont="1" applyFill="1" applyBorder="1" applyAlignment="1">
      <alignment vertical="center" wrapText="1"/>
    </xf>
    <xf numFmtId="0" fontId="42" fillId="29" borderId="35" xfId="0" applyFont="1" applyFill="1" applyBorder="1" applyAlignment="1">
      <alignment horizontal="center" vertical="center" wrapText="1"/>
    </xf>
    <xf numFmtId="0" fontId="42" fillId="29" borderId="15" xfId="0" applyFont="1" applyFill="1" applyBorder="1" applyAlignment="1">
      <alignment horizontal="center" vertical="center" wrapText="1"/>
    </xf>
    <xf numFmtId="0" fontId="93" fillId="29" borderId="15" xfId="1" applyNumberFormat="1" applyFont="1" applyFill="1" applyBorder="1" applyAlignment="1" applyProtection="1">
      <alignment vertical="center" wrapText="1"/>
    </xf>
    <xf numFmtId="0" fontId="90" fillId="29" borderId="36" xfId="1" applyNumberFormat="1" applyFont="1" applyFill="1" applyBorder="1" applyAlignment="1" applyProtection="1">
      <alignment vertical="center" wrapText="1"/>
    </xf>
    <xf numFmtId="0" fontId="93" fillId="29" borderId="15" xfId="1" applyFont="1" applyFill="1" applyBorder="1" applyAlignment="1">
      <alignment horizontal="center" vertical="center" wrapText="1"/>
    </xf>
    <xf numFmtId="0" fontId="87" fillId="29" borderId="15" xfId="0" applyFont="1" applyFill="1" applyBorder="1" applyAlignment="1">
      <alignment horizontal="center" vertical="center" wrapText="1"/>
    </xf>
    <xf numFmtId="0" fontId="96" fillId="29" borderId="15" xfId="1" applyNumberFormat="1" applyFont="1" applyFill="1" applyBorder="1" applyAlignment="1" applyProtection="1">
      <alignment horizontal="center" vertical="center" wrapText="1"/>
    </xf>
    <xf numFmtId="0" fontId="2" fillId="29" borderId="15" xfId="0" applyFont="1" applyFill="1" applyBorder="1" applyAlignment="1">
      <alignment vertical="center" wrapText="1"/>
    </xf>
    <xf numFmtId="0" fontId="46" fillId="29" borderId="35" xfId="0" applyFont="1" applyFill="1" applyBorder="1" applyAlignment="1">
      <alignment horizontal="left" vertical="top" wrapText="1"/>
    </xf>
    <xf numFmtId="0" fontId="46" fillId="29" borderId="15" xfId="0" applyFont="1" applyFill="1" applyBorder="1" applyAlignment="1">
      <alignment horizontal="left" vertical="top" wrapText="1"/>
    </xf>
    <xf numFmtId="0" fontId="4" fillId="29" borderId="35" xfId="0" applyFont="1" applyFill="1" applyBorder="1" applyAlignment="1">
      <alignment vertical="center"/>
    </xf>
    <xf numFmtId="0" fontId="4" fillId="29" borderId="15" xfId="0" applyFont="1" applyFill="1" applyBorder="1" applyAlignment="1">
      <alignment vertical="center"/>
    </xf>
    <xf numFmtId="0" fontId="101" fillId="29" borderId="15" xfId="0" applyFont="1" applyFill="1" applyBorder="1" applyAlignment="1">
      <alignment vertical="center"/>
    </xf>
    <xf numFmtId="0" fontId="89" fillId="29" borderId="36" xfId="0" applyFont="1" applyFill="1" applyBorder="1" applyAlignment="1">
      <alignment vertical="center"/>
    </xf>
    <xf numFmtId="0" fontId="92" fillId="29" borderId="15" xfId="0" applyFont="1" applyFill="1" applyBorder="1" applyAlignment="1">
      <alignment vertical="center"/>
    </xf>
    <xf numFmtId="0" fontId="87" fillId="29" borderId="15" xfId="1" applyNumberFormat="1" applyFont="1" applyFill="1" applyBorder="1" applyAlignment="1" applyProtection="1">
      <alignment horizontal="left" vertical="center" wrapText="1"/>
    </xf>
    <xf numFmtId="0" fontId="101" fillId="29" borderId="15" xfId="0" applyFont="1" applyFill="1" applyBorder="1" applyAlignment="1">
      <alignment horizontal="left" vertical="center" wrapText="1"/>
    </xf>
    <xf numFmtId="0" fontId="89" fillId="29" borderId="36" xfId="0" applyFont="1" applyFill="1" applyBorder="1" applyAlignment="1">
      <alignment horizontal="left" vertical="center" wrapText="1"/>
    </xf>
    <xf numFmtId="0" fontId="93" fillId="29" borderId="15" xfId="1" applyNumberFormat="1" applyFont="1" applyFill="1" applyBorder="1" applyAlignment="1" applyProtection="1">
      <alignment horizontal="left" vertical="center" wrapText="1"/>
    </xf>
    <xf numFmtId="0" fontId="90" fillId="29" borderId="36" xfId="1" applyNumberFormat="1" applyFont="1" applyFill="1" applyBorder="1" applyAlignment="1" applyProtection="1">
      <alignment horizontal="left" vertical="center" wrapText="1"/>
    </xf>
    <xf numFmtId="16" fontId="92" fillId="29" borderId="15" xfId="0" applyNumberFormat="1" applyFont="1" applyFill="1" applyBorder="1" applyAlignment="1">
      <alignment vertical="center" wrapText="1"/>
    </xf>
    <xf numFmtId="16" fontId="101" fillId="29" borderId="15" xfId="0" applyNumberFormat="1" applyFont="1" applyFill="1" applyBorder="1" applyAlignment="1">
      <alignment vertical="center" wrapText="1"/>
    </xf>
    <xf numFmtId="16" fontId="89" fillId="29" borderId="36" xfId="0" applyNumberFormat="1" applyFont="1" applyFill="1" applyBorder="1" applyAlignment="1">
      <alignment vertical="center" wrapText="1"/>
    </xf>
    <xf numFmtId="0" fontId="87" fillId="29" borderId="15" xfId="0" applyFont="1" applyFill="1" applyBorder="1" applyAlignment="1">
      <alignment horizontal="right" vertical="center" wrapText="1"/>
    </xf>
    <xf numFmtId="0" fontId="101" fillId="29" borderId="15" xfId="0" applyFont="1" applyFill="1" applyBorder="1" applyAlignment="1">
      <alignment horizontal="right" vertical="center" wrapText="1"/>
    </xf>
    <xf numFmtId="0" fontId="87" fillId="29" borderId="15" xfId="1" applyNumberFormat="1" applyFont="1" applyFill="1" applyBorder="1" applyAlignment="1" applyProtection="1">
      <alignment horizontal="right" vertical="center" wrapText="1"/>
    </xf>
    <xf numFmtId="0" fontId="87" fillId="29" borderId="15" xfId="1" applyNumberFormat="1" applyFont="1" applyFill="1" applyBorder="1" applyAlignment="1" applyProtection="1">
      <alignment vertical="center" wrapText="1"/>
    </xf>
    <xf numFmtId="0" fontId="2" fillId="29" borderId="15" xfId="1" applyNumberFormat="1" applyFont="1" applyFill="1" applyBorder="1" applyAlignment="1" applyProtection="1">
      <alignment horizontal="left" vertical="center" wrapText="1"/>
    </xf>
    <xf numFmtId="0" fontId="133" fillId="29" borderId="15" xfId="0" applyFont="1" applyFill="1" applyBorder="1" applyAlignment="1">
      <alignment vertical="center" wrapText="1"/>
    </xf>
    <xf numFmtId="0" fontId="134" fillId="29" borderId="15" xfId="1" applyFont="1" applyFill="1" applyBorder="1" applyAlignment="1">
      <alignment vertical="center" wrapText="1"/>
    </xf>
    <xf numFmtId="0" fontId="73" fillId="29" borderId="15" xfId="1" applyNumberFormat="1" applyFont="1" applyFill="1" applyBorder="1" applyAlignment="1" applyProtection="1">
      <alignment horizontal="left" vertical="center" wrapText="1"/>
    </xf>
    <xf numFmtId="0" fontId="49" fillId="29" borderId="35" xfId="0" applyFont="1" applyFill="1" applyBorder="1" applyAlignment="1">
      <alignment horizontal="left" vertical="top" wrapText="1"/>
    </xf>
    <xf numFmtId="0" fontId="49" fillId="29" borderId="15" xfId="0" applyFont="1" applyFill="1" applyBorder="1" applyAlignment="1">
      <alignment horizontal="left" vertical="top" wrapText="1"/>
    </xf>
    <xf numFmtId="0" fontId="94" fillId="29" borderId="15" xfId="0" applyFont="1" applyFill="1" applyBorder="1" applyAlignment="1">
      <alignment vertical="center" wrapText="1"/>
    </xf>
    <xf numFmtId="0" fontId="106" fillId="29" borderId="15" xfId="0" applyFont="1" applyFill="1" applyBorder="1" applyAlignment="1">
      <alignment vertical="center" wrapText="1"/>
    </xf>
    <xf numFmtId="0" fontId="91" fillId="29" borderId="36" xfId="0" applyFont="1" applyFill="1" applyBorder="1" applyAlignment="1">
      <alignment vertical="center" wrapText="1"/>
    </xf>
    <xf numFmtId="0" fontId="40" fillId="29" borderId="15" xfId="0" applyFont="1" applyFill="1" applyBorder="1" applyAlignment="1">
      <alignment vertical="center" wrapText="1"/>
    </xf>
    <xf numFmtId="0" fontId="16" fillId="29" borderId="15" xfId="0" applyFont="1" applyFill="1" applyBorder="1" applyAlignment="1">
      <alignment horizontal="center" vertical="center" wrapText="1"/>
    </xf>
    <xf numFmtId="0" fontId="42" fillId="29" borderId="36" xfId="0" applyFont="1" applyFill="1" applyBorder="1" applyAlignment="1">
      <alignment horizontal="center" vertical="center" wrapText="1"/>
    </xf>
    <xf numFmtId="0" fontId="4" fillId="29" borderId="35" xfId="0" applyFont="1" applyFill="1" applyBorder="1" applyAlignment="1">
      <alignment vertical="center" wrapText="1"/>
    </xf>
    <xf numFmtId="0" fontId="4" fillId="29" borderId="15" xfId="0" applyFont="1" applyFill="1" applyBorder="1" applyAlignment="1">
      <alignment vertical="center" wrapText="1"/>
    </xf>
    <xf numFmtId="0" fontId="82" fillId="29" borderId="35" xfId="0" applyFont="1" applyFill="1" applyBorder="1" applyAlignment="1">
      <alignment horizontal="left" vertical="top" wrapText="1"/>
    </xf>
    <xf numFmtId="0" fontId="82" fillId="29" borderId="15" xfId="0" applyFont="1" applyFill="1" applyBorder="1" applyAlignment="1">
      <alignment horizontal="left" vertical="top" wrapText="1"/>
    </xf>
    <xf numFmtId="0" fontId="49" fillId="29" borderId="15" xfId="0" applyFont="1" applyFill="1" applyBorder="1" applyAlignment="1">
      <alignment vertical="center" wrapText="1"/>
    </xf>
    <xf numFmtId="0" fontId="49" fillId="29" borderId="35" xfId="0" applyFont="1" applyFill="1" applyBorder="1" applyAlignment="1">
      <alignment vertical="center" wrapText="1"/>
    </xf>
    <xf numFmtId="0" fontId="87" fillId="29" borderId="15" xfId="0" applyFont="1" applyFill="1" applyBorder="1" applyAlignment="1">
      <alignment horizontal="left" vertical="center"/>
    </xf>
    <xf numFmtId="0" fontId="87" fillId="29" borderId="15" xfId="0" applyFont="1" applyFill="1" applyBorder="1" applyAlignment="1">
      <alignment horizontal="center" vertical="center"/>
    </xf>
    <xf numFmtId="0" fontId="6" fillId="29" borderId="35" xfId="0" applyFont="1" applyFill="1" applyBorder="1" applyAlignment="1">
      <alignment vertical="center" wrapText="1"/>
    </xf>
    <xf numFmtId="0" fontId="6" fillId="29" borderId="15" xfId="0" applyFont="1" applyFill="1" applyBorder="1" applyAlignment="1">
      <alignment vertical="center" wrapText="1"/>
    </xf>
    <xf numFmtId="0" fontId="40" fillId="29" borderId="35" xfId="0" applyFont="1" applyFill="1" applyBorder="1" applyAlignment="1">
      <alignment vertical="center" wrapText="1"/>
    </xf>
    <xf numFmtId="0" fontId="81" fillId="29" borderId="15" xfId="0" applyFont="1" applyFill="1" applyBorder="1" applyAlignment="1">
      <alignment vertical="center" wrapText="1"/>
    </xf>
    <xf numFmtId="0" fontId="120" fillId="29" borderId="15" xfId="1" applyNumberFormat="1" applyFont="1" applyFill="1" applyBorder="1" applyAlignment="1" applyProtection="1">
      <alignment horizontal="left" vertical="center" wrapText="1"/>
    </xf>
    <xf numFmtId="0" fontId="135" fillId="0" borderId="15" xfId="0" applyFont="1" applyBorder="1" applyAlignment="1">
      <alignment horizontal="center" wrapText="1"/>
    </xf>
    <xf numFmtId="164" fontId="8" fillId="2" borderId="15" xfId="0" applyNumberFormat="1" applyFont="1" applyFill="1" applyBorder="1" applyAlignment="1">
      <alignment horizontal="right" wrapText="1"/>
    </xf>
    <xf numFmtId="0" fontId="136" fillId="0" borderId="15" xfId="2" applyFont="1" applyBorder="1" applyAlignment="1">
      <alignment horizontal="center"/>
    </xf>
    <xf numFmtId="0" fontId="136" fillId="0" borderId="15" xfId="2" applyFont="1" applyBorder="1" applyAlignment="1">
      <alignment horizontal="center" wrapText="1"/>
    </xf>
    <xf numFmtId="0" fontId="137" fillId="0" borderId="15" xfId="2" applyFont="1" applyBorder="1" applyAlignment="1">
      <alignment horizontal="center"/>
    </xf>
    <xf numFmtId="0" fontId="137" fillId="0" borderId="15" xfId="2" applyFont="1" applyBorder="1" applyAlignment="1">
      <alignment horizontal="center" wrapText="1"/>
    </xf>
    <xf numFmtId="164" fontId="8" fillId="2" borderId="38" xfId="0" applyNumberFormat="1" applyFont="1" applyFill="1" applyBorder="1" applyAlignment="1">
      <alignment horizontal="right" wrapText="1"/>
    </xf>
    <xf numFmtId="0" fontId="46" fillId="0" borderId="35" xfId="0" applyFont="1" applyBorder="1" applyAlignment="1">
      <alignment horizontal="left" vertical="top" wrapText="1"/>
    </xf>
    <xf numFmtId="0" fontId="46" fillId="0" borderId="15" xfId="0" applyFont="1" applyBorder="1" applyAlignment="1">
      <alignment horizontal="left" vertical="top" wrapText="1"/>
    </xf>
    <xf numFmtId="0" fontId="2" fillId="0" borderId="35" xfId="0" applyFont="1" applyBorder="1" applyAlignment="1">
      <alignment vertical="center" wrapText="1"/>
    </xf>
    <xf numFmtId="0" fontId="74" fillId="0" borderId="15" xfId="0" applyFont="1" applyBorder="1" applyAlignment="1">
      <alignment horizontal="center" vertical="center" wrapText="1"/>
    </xf>
    <xf numFmtId="0" fontId="2" fillId="0" borderId="15" xfId="0" applyFont="1" applyBorder="1" applyAlignment="1">
      <alignment vertical="center" wrapText="1"/>
    </xf>
    <xf numFmtId="0" fontId="30" fillId="0" borderId="15" xfId="0" applyFont="1" applyBorder="1" applyAlignment="1">
      <alignment horizontal="center" vertical="top" wrapText="1"/>
    </xf>
    <xf numFmtId="0" fontId="135" fillId="0" borderId="15" xfId="0" applyFont="1" applyBorder="1" applyAlignment="1">
      <alignment horizontal="center" vertical="top" wrapText="1"/>
    </xf>
    <xf numFmtId="0" fontId="136" fillId="0" borderId="15" xfId="2" applyFont="1" applyBorder="1" applyAlignment="1">
      <alignment horizontal="center" vertical="top" wrapText="1"/>
    </xf>
    <xf numFmtId="0" fontId="136" fillId="0" borderId="15" xfId="2" applyFont="1" applyBorder="1" applyAlignment="1">
      <alignment horizontal="center" vertical="top"/>
    </xf>
    <xf numFmtId="0" fontId="10" fillId="0" borderId="15" xfId="0" applyFont="1" applyBorder="1" applyAlignment="1">
      <alignment horizontal="center" vertical="top"/>
    </xf>
    <xf numFmtId="0" fontId="137" fillId="0" borderId="15" xfId="2" applyFont="1" applyBorder="1" applyAlignment="1">
      <alignment horizontal="center" vertical="top" wrapText="1"/>
    </xf>
    <xf numFmtId="0" fontId="49" fillId="13" borderId="35" xfId="0" applyFont="1" applyFill="1" applyBorder="1" applyAlignment="1">
      <alignment horizontal="left" vertical="top" wrapText="1"/>
    </xf>
    <xf numFmtId="0" fontId="49" fillId="13" borderId="15" xfId="0" applyFont="1" applyFill="1" applyBorder="1" applyAlignment="1">
      <alignment horizontal="left" vertical="top" wrapText="1"/>
    </xf>
    <xf numFmtId="14" fontId="138" fillId="0" borderId="16" xfId="0" applyNumberFormat="1" applyFont="1" applyBorder="1" applyAlignment="1">
      <alignment horizontal="center" vertical="center" wrapText="1"/>
    </xf>
    <xf numFmtId="14" fontId="138" fillId="0" borderId="15" xfId="0" applyNumberFormat="1" applyFont="1" applyBorder="1" applyAlignment="1">
      <alignment horizontal="center" vertical="center" wrapText="1"/>
    </xf>
    <xf numFmtId="14" fontId="138" fillId="0" borderId="31" xfId="0" applyNumberFormat="1" applyFont="1" applyBorder="1" applyAlignment="1">
      <alignment horizontal="center" vertical="center" wrapText="1"/>
    </xf>
    <xf numFmtId="14" fontId="138" fillId="0" borderId="17" xfId="0" applyNumberFormat="1" applyFont="1" applyBorder="1" applyAlignment="1">
      <alignment horizontal="center" vertical="center" wrapText="1"/>
    </xf>
    <xf numFmtId="0" fontId="138" fillId="0" borderId="0" xfId="0" applyFont="1" applyAlignment="1">
      <alignment horizontal="left" vertical="top" wrapText="1"/>
    </xf>
    <xf numFmtId="164" fontId="140" fillId="2" borderId="15" xfId="0" applyNumberFormat="1" applyFont="1" applyFill="1" applyBorder="1" applyAlignment="1">
      <alignment horizontal="right" wrapText="1"/>
    </xf>
    <xf numFmtId="0" fontId="138" fillId="0" borderId="15" xfId="0" applyFont="1" applyBorder="1" applyAlignment="1">
      <alignment horizontal="center" vertical="center" wrapText="1"/>
    </xf>
    <xf numFmtId="164" fontId="140" fillId="2" borderId="15" xfId="0" applyNumberFormat="1" applyFont="1" applyFill="1" applyBorder="1" applyAlignment="1">
      <alignment horizontal="center" vertical="center" wrapText="1"/>
    </xf>
    <xf numFmtId="0" fontId="138" fillId="0" borderId="16" xfId="0" applyFont="1" applyBorder="1" applyAlignment="1">
      <alignment horizontal="center" vertical="center" wrapText="1"/>
    </xf>
    <xf numFmtId="0" fontId="138" fillId="0" borderId="17" xfId="0" applyFont="1" applyBorder="1" applyAlignment="1">
      <alignment horizontal="center" vertical="center" wrapText="1"/>
    </xf>
    <xf numFmtId="164" fontId="140" fillId="2" borderId="38" xfId="0" applyNumberFormat="1" applyFont="1" applyFill="1" applyBorder="1" applyAlignment="1">
      <alignment horizontal="center" vertical="center" wrapText="1"/>
    </xf>
    <xf numFmtId="0" fontId="138" fillId="0" borderId="0" xfId="0" applyFont="1" applyAlignment="1">
      <alignment horizontal="center" vertical="center" wrapText="1"/>
    </xf>
    <xf numFmtId="0" fontId="10" fillId="0" borderId="15" xfId="0" applyFont="1" applyBorder="1" applyAlignment="1">
      <alignment horizontal="center" vertical="top" wrapText="1"/>
    </xf>
    <xf numFmtId="0" fontId="14" fillId="0" borderId="15" xfId="0" applyFont="1" applyBorder="1" applyAlignment="1">
      <alignment horizontal="center" vertical="top" wrapText="1"/>
    </xf>
    <xf numFmtId="0" fontId="49" fillId="0" borderId="35" xfId="0" applyFont="1" applyBorder="1" applyAlignment="1">
      <alignment horizontal="left" vertical="top" wrapText="1"/>
    </xf>
    <xf numFmtId="0" fontId="49" fillId="0" borderId="15" xfId="0" applyFont="1" applyBorder="1" applyAlignment="1">
      <alignment horizontal="left" vertical="top" wrapText="1"/>
    </xf>
    <xf numFmtId="0" fontId="141" fillId="0" borderId="0" xfId="0" applyFont="1" applyAlignment="1">
      <alignment horizontal="center"/>
    </xf>
    <xf numFmtId="164" fontId="141" fillId="2" borderId="15" xfId="0" applyNumberFormat="1" applyFont="1" applyFill="1" applyBorder="1" applyAlignment="1">
      <alignment horizontal="right" wrapText="1"/>
    </xf>
    <xf numFmtId="0" fontId="141" fillId="0" borderId="15" xfId="0" applyFont="1" applyBorder="1" applyAlignment="1">
      <alignment horizontal="center" vertical="center" wrapText="1"/>
    </xf>
    <xf numFmtId="0" fontId="141" fillId="28" borderId="15" xfId="0" applyFont="1" applyFill="1" applyBorder="1" applyAlignment="1">
      <alignment horizontal="center" vertical="center" wrapText="1"/>
    </xf>
    <xf numFmtId="14" fontId="141" fillId="28" borderId="16" xfId="0" applyNumberFormat="1" applyFont="1" applyFill="1" applyBorder="1" applyAlignment="1">
      <alignment horizontal="center" vertical="center" wrapText="1"/>
    </xf>
    <xf numFmtId="14" fontId="141" fillId="28" borderId="31" xfId="0" applyNumberFormat="1" applyFont="1" applyFill="1" applyBorder="1" applyAlignment="1">
      <alignment horizontal="center" vertical="center" wrapText="1"/>
    </xf>
    <xf numFmtId="164" fontId="141" fillId="2" borderId="15" xfId="0" applyNumberFormat="1" applyFont="1" applyFill="1" applyBorder="1" applyAlignment="1">
      <alignment horizontal="center" vertical="center" wrapText="1"/>
    </xf>
    <xf numFmtId="14" fontId="143" fillId="28" borderId="15" xfId="1" applyNumberFormat="1" applyFont="1" applyFill="1" applyBorder="1" applyAlignment="1">
      <alignment horizontal="center" vertical="center" wrapText="1"/>
    </xf>
    <xf numFmtId="14" fontId="141" fillId="28" borderId="15" xfId="0" applyNumberFormat="1" applyFont="1" applyFill="1" applyBorder="1" applyAlignment="1">
      <alignment horizontal="center" vertical="center" wrapText="1"/>
    </xf>
    <xf numFmtId="14" fontId="141" fillId="28" borderId="17" xfId="0" applyNumberFormat="1" applyFont="1" applyFill="1" applyBorder="1" applyAlignment="1">
      <alignment horizontal="center" vertical="center" wrapText="1"/>
    </xf>
    <xf numFmtId="14" fontId="143" fillId="28" borderId="16" xfId="1" applyNumberFormat="1" applyFont="1" applyFill="1" applyBorder="1" applyAlignment="1">
      <alignment horizontal="center" vertical="center" wrapText="1"/>
    </xf>
    <xf numFmtId="164" fontId="141" fillId="2" borderId="38" xfId="0" applyNumberFormat="1" applyFont="1" applyFill="1" applyBorder="1" applyAlignment="1">
      <alignment horizontal="center" vertical="center" wrapText="1"/>
    </xf>
    <xf numFmtId="0" fontId="141" fillId="0" borderId="0" xfId="0" applyFont="1" applyAlignment="1">
      <alignment horizontal="center" vertical="center" wrapText="1"/>
    </xf>
    <xf numFmtId="0" fontId="82" fillId="0" borderId="2" xfId="0" applyFont="1" applyBorder="1"/>
    <xf numFmtId="49" fontId="85" fillId="0" borderId="2" xfId="0" applyNumberFormat="1" applyFont="1" applyBorder="1"/>
    <xf numFmtId="0" fontId="81" fillId="0" borderId="2" xfId="0" applyFont="1" applyBorder="1" applyAlignment="1">
      <alignment horizontal="center" vertical="center"/>
    </xf>
    <xf numFmtId="0" fontId="81" fillId="10" borderId="2" xfId="0" applyFont="1" applyFill="1" applyBorder="1" applyAlignment="1">
      <alignment vertical="center" wrapText="1"/>
    </xf>
    <xf numFmtId="0" fontId="81" fillId="10" borderId="1" xfId="0" applyFont="1" applyFill="1" applyBorder="1" applyAlignment="1">
      <alignment horizontal="center" vertical="center" wrapText="1"/>
    </xf>
    <xf numFmtId="0" fontId="81" fillId="8" borderId="15" xfId="0" applyFont="1" applyFill="1" applyBorder="1" applyAlignment="1">
      <alignment horizontal="center" vertical="center" wrapText="1"/>
    </xf>
    <xf numFmtId="0" fontId="81" fillId="0" borderId="15" xfId="0" applyFont="1" applyBorder="1" applyAlignment="1">
      <alignment horizontal="center" vertical="center" wrapText="1"/>
    </xf>
    <xf numFmtId="0" fontId="81" fillId="0" borderId="15" xfId="0" applyFont="1" applyBorder="1" applyAlignment="1">
      <alignment horizontal="center" vertical="center"/>
    </xf>
    <xf numFmtId="0" fontId="144" fillId="0" borderId="15" xfId="0" applyFont="1" applyBorder="1" applyAlignment="1">
      <alignment horizontal="center" vertical="center" wrapText="1"/>
    </xf>
    <xf numFmtId="0" fontId="144" fillId="0" borderId="15" xfId="0" applyFont="1" applyBorder="1" applyAlignment="1">
      <alignment horizontal="center" vertical="center"/>
    </xf>
    <xf numFmtId="1" fontId="145" fillId="0" borderId="15" xfId="0" applyNumberFormat="1" applyFont="1" applyBorder="1" applyAlignment="1">
      <alignment horizontal="center" vertical="center" wrapText="1"/>
    </xf>
    <xf numFmtId="164" fontId="144" fillId="0" borderId="15" xfId="0" applyNumberFormat="1" applyFont="1" applyBorder="1" applyAlignment="1">
      <alignment horizontal="center" vertical="center" wrapText="1"/>
    </xf>
    <xf numFmtId="0" fontId="144" fillId="0" borderId="0" xfId="0" applyFont="1"/>
    <xf numFmtId="1" fontId="82" fillId="0" borderId="2" xfId="0" applyNumberFormat="1" applyFont="1" applyBorder="1" applyAlignment="1">
      <alignment horizontal="center" vertical="center"/>
    </xf>
    <xf numFmtId="49" fontId="85" fillId="0" borderId="2" xfId="0" applyNumberFormat="1" applyFont="1" applyBorder="1" applyAlignment="1">
      <alignment horizontal="center" vertical="center"/>
    </xf>
    <xf numFmtId="0" fontId="81" fillId="0" borderId="2" xfId="0" applyFont="1" applyBorder="1" applyAlignment="1">
      <alignment vertical="center" wrapText="1"/>
    </xf>
    <xf numFmtId="0" fontId="81" fillId="0" borderId="1" xfId="0" applyFont="1" applyBorder="1" applyAlignment="1">
      <alignment horizontal="center" vertical="center" wrapText="1"/>
    </xf>
    <xf numFmtId="1" fontId="81" fillId="0" borderId="15" xfId="0" applyNumberFormat="1" applyFont="1" applyBorder="1" applyAlignment="1">
      <alignment horizontal="center" vertical="center" wrapText="1"/>
    </xf>
    <xf numFmtId="1" fontId="144" fillId="0" borderId="15" xfId="0" applyNumberFormat="1" applyFont="1" applyBorder="1" applyAlignment="1">
      <alignment horizontal="center" vertical="center" wrapText="1"/>
    </xf>
    <xf numFmtId="1" fontId="81" fillId="0" borderId="15" xfId="0" applyNumberFormat="1" applyFont="1" applyBorder="1"/>
    <xf numFmtId="1" fontId="144" fillId="0" borderId="15" xfId="0" applyNumberFormat="1" applyFont="1" applyBorder="1" applyAlignment="1">
      <alignment horizontal="right" wrapText="1"/>
    </xf>
    <xf numFmtId="1" fontId="144" fillId="0" borderId="15" xfId="0" applyNumberFormat="1" applyFont="1" applyBorder="1" applyAlignment="1">
      <alignment horizontal="right" vertical="center" wrapText="1"/>
    </xf>
    <xf numFmtId="164" fontId="146" fillId="0" borderId="15" xfId="0" applyNumberFormat="1" applyFont="1" applyBorder="1" applyAlignment="1">
      <alignment horizontal="right"/>
    </xf>
    <xf numFmtId="1" fontId="82" fillId="0" borderId="2" xfId="0" applyNumberFormat="1" applyFont="1" applyBorder="1" applyAlignment="1">
      <alignment horizontal="center"/>
    </xf>
    <xf numFmtId="49" fontId="85" fillId="0" borderId="2" xfId="0" applyNumberFormat="1" applyFont="1" applyBorder="1" applyAlignment="1">
      <alignment horizontal="center"/>
    </xf>
    <xf numFmtId="0" fontId="81" fillId="0" borderId="1" xfId="0" applyFont="1" applyBorder="1" applyAlignment="1">
      <alignment horizontal="left" vertical="center" wrapText="1"/>
    </xf>
    <xf numFmtId="1" fontId="146" fillId="0" borderId="15" xfId="0" applyNumberFormat="1" applyFont="1" applyBorder="1" applyAlignment="1">
      <alignment horizontal="right"/>
    </xf>
    <xf numFmtId="164" fontId="19" fillId="12" borderId="35" xfId="0" applyNumberFormat="1" applyFont="1" applyFill="1" applyBorder="1" applyAlignment="1">
      <alignment horizontal="right" wrapText="1"/>
    </xf>
    <xf numFmtId="164" fontId="141" fillId="12" borderId="15" xfId="0" applyNumberFormat="1" applyFont="1" applyFill="1" applyBorder="1" applyAlignment="1">
      <alignment horizontal="center" vertical="center" wrapText="1"/>
    </xf>
    <xf numFmtId="164" fontId="140" fillId="12" borderId="15" xfId="0" applyNumberFormat="1" applyFont="1" applyFill="1" applyBorder="1" applyAlignment="1">
      <alignment horizontal="center" vertical="center" wrapText="1"/>
    </xf>
    <xf numFmtId="164" fontId="19" fillId="12" borderId="36" xfId="0" applyNumberFormat="1" applyFont="1" applyFill="1" applyBorder="1" applyAlignment="1">
      <alignment horizontal="right" wrapText="1"/>
    </xf>
    <xf numFmtId="0" fontId="23" fillId="13" borderId="0" xfId="0" applyFont="1" applyFill="1" applyAlignment="1">
      <alignment horizontal="center"/>
    </xf>
    <xf numFmtId="49" fontId="2" fillId="13" borderId="15" xfId="0" applyNumberFormat="1" applyFont="1" applyFill="1" applyBorder="1" applyAlignment="1">
      <alignment horizontal="center" wrapText="1"/>
    </xf>
    <xf numFmtId="14" fontId="147" fillId="28" borderId="15" xfId="1" applyNumberFormat="1" applyFont="1" applyFill="1" applyBorder="1" applyAlignment="1">
      <alignment horizontal="center" vertical="center" wrapText="1"/>
    </xf>
    <xf numFmtId="14" fontId="148" fillId="28" borderId="15" xfId="1" applyNumberFormat="1" applyFont="1" applyFill="1" applyBorder="1" applyAlignment="1">
      <alignment horizontal="center" vertical="center" wrapText="1"/>
    </xf>
    <xf numFmtId="14" fontId="147" fillId="28" borderId="16" xfId="1" applyNumberFormat="1" applyFont="1" applyFill="1" applyBorder="1" applyAlignment="1">
      <alignment horizontal="center" vertical="center" wrapText="1"/>
    </xf>
    <xf numFmtId="14" fontId="149" fillId="28" borderId="15" xfId="0" applyNumberFormat="1" applyFont="1" applyFill="1" applyBorder="1" applyAlignment="1">
      <alignment horizontal="center" vertical="center" wrapText="1"/>
    </xf>
    <xf numFmtId="0" fontId="150" fillId="0" borderId="15" xfId="0" applyFont="1" applyBorder="1" applyAlignment="1">
      <alignment horizontal="center" vertical="center" wrapText="1"/>
    </xf>
    <xf numFmtId="0" fontId="151" fillId="0" borderId="15" xfId="2" applyFont="1" applyBorder="1" applyAlignment="1">
      <alignment horizontal="center"/>
    </xf>
    <xf numFmtId="0" fontId="152" fillId="0" borderId="15" xfId="2" applyFont="1" applyBorder="1" applyAlignment="1">
      <alignment horizontal="center"/>
    </xf>
    <xf numFmtId="0" fontId="82" fillId="29" borderId="15" xfId="0" applyFont="1" applyFill="1" applyBorder="1" applyAlignment="1">
      <alignment vertical="center" wrapText="1"/>
    </xf>
    <xf numFmtId="0" fontId="153" fillId="29" borderId="36" xfId="0" applyFont="1" applyFill="1" applyBorder="1" applyAlignment="1">
      <alignment vertical="center" wrapText="1"/>
    </xf>
    <xf numFmtId="165" fontId="85" fillId="0" borderId="15" xfId="0" applyNumberFormat="1" applyFont="1" applyBorder="1" applyAlignment="1">
      <alignment horizontal="center"/>
    </xf>
    <xf numFmtId="0" fontId="85" fillId="0" borderId="15" xfId="0" applyFont="1" applyBorder="1" applyAlignment="1">
      <alignment horizontal="center" vertical="center" wrapText="1"/>
    </xf>
    <xf numFmtId="0" fontId="82" fillId="29" borderId="15" xfId="1" applyNumberFormat="1" applyFont="1" applyFill="1" applyBorder="1" applyAlignment="1" applyProtection="1">
      <alignment horizontal="left" vertical="center" wrapText="1"/>
    </xf>
    <xf numFmtId="14" fontId="154" fillId="28" borderId="15" xfId="1" applyNumberFormat="1" applyFont="1" applyFill="1" applyBorder="1" applyAlignment="1">
      <alignment horizontal="center" vertical="center" wrapText="1"/>
    </xf>
    <xf numFmtId="14" fontId="141" fillId="28" borderId="15" xfId="1" applyNumberFormat="1" applyFont="1" applyFill="1" applyBorder="1" applyAlignment="1">
      <alignment horizontal="center" vertical="center" wrapText="1"/>
    </xf>
    <xf numFmtId="14" fontId="154" fillId="28" borderId="16" xfId="1" applyNumberFormat="1" applyFont="1" applyFill="1" applyBorder="1" applyAlignment="1">
      <alignment horizontal="center" vertical="center" wrapText="1"/>
    </xf>
    <xf numFmtId="0" fontId="154" fillId="28" borderId="15" xfId="1" applyFont="1" applyFill="1" applyBorder="1" applyAlignment="1">
      <alignment horizontal="center" vertical="center" wrapText="1"/>
    </xf>
    <xf numFmtId="164" fontId="126" fillId="2" borderId="15" xfId="0" applyNumberFormat="1" applyFont="1" applyFill="1" applyBorder="1" applyAlignment="1">
      <alignment horizontal="center" vertical="center" wrapText="1"/>
    </xf>
    <xf numFmtId="0" fontId="126" fillId="0" borderId="15" xfId="0" applyFont="1" applyBorder="1" applyAlignment="1">
      <alignment horizontal="center" vertical="center" wrapText="1"/>
    </xf>
    <xf numFmtId="0" fontId="149" fillId="0" borderId="15" xfId="0" applyFont="1" applyBorder="1" applyAlignment="1">
      <alignment horizontal="center" vertical="center" wrapText="1"/>
    </xf>
    <xf numFmtId="0" fontId="126" fillId="28" borderId="17" xfId="0" applyFont="1" applyFill="1" applyBorder="1" applyAlignment="1">
      <alignment horizontal="center" vertical="center" wrapText="1"/>
    </xf>
    <xf numFmtId="0" fontId="126" fillId="28" borderId="16" xfId="0" applyFont="1" applyFill="1" applyBorder="1" applyAlignment="1">
      <alignment horizontal="center" vertical="center" wrapText="1"/>
    </xf>
    <xf numFmtId="0" fontId="126" fillId="28" borderId="31" xfId="0" applyFont="1" applyFill="1" applyBorder="1" applyAlignment="1">
      <alignment horizontal="center" vertical="center" wrapText="1"/>
    </xf>
    <xf numFmtId="0" fontId="155" fillId="28" borderId="15" xfId="0" applyFont="1" applyFill="1" applyBorder="1" applyAlignment="1">
      <alignment horizontal="center" vertical="center" wrapText="1"/>
    </xf>
    <xf numFmtId="164" fontId="126" fillId="2" borderId="38" xfId="0" applyNumberFormat="1" applyFont="1" applyFill="1" applyBorder="1" applyAlignment="1">
      <alignment horizontal="center" vertical="center" wrapText="1"/>
    </xf>
    <xf numFmtId="0" fontId="126" fillId="0" borderId="0" xfId="0" applyFont="1" applyAlignment="1">
      <alignment horizontal="center" vertical="center" wrapText="1"/>
    </xf>
    <xf numFmtId="0" fontId="154" fillId="28" borderId="0" xfId="1" applyFont="1" applyFill="1" applyBorder="1" applyAlignment="1">
      <alignment horizontal="center" vertical="center" wrapText="1"/>
    </xf>
    <xf numFmtId="0" fontId="156" fillId="28" borderId="15" xfId="0" applyFont="1" applyFill="1" applyBorder="1" applyAlignment="1">
      <alignment horizontal="center" vertical="center" wrapText="1"/>
    </xf>
    <xf numFmtId="14" fontId="132" fillId="28" borderId="15" xfId="0" applyNumberFormat="1" applyFont="1" applyFill="1" applyBorder="1" applyAlignment="1">
      <alignment horizontal="center" vertical="center" wrapText="1"/>
    </xf>
    <xf numFmtId="0" fontId="74" fillId="0" borderId="15" xfId="0" applyFont="1" applyBorder="1" applyAlignment="1">
      <alignment horizontal="center" vertical="top" wrapText="1"/>
    </xf>
    <xf numFmtId="0" fontId="74" fillId="0" borderId="15" xfId="2" applyFont="1" applyBorder="1" applyAlignment="1">
      <alignment horizontal="center" vertical="top" wrapText="1"/>
    </xf>
    <xf numFmtId="0" fontId="74" fillId="0" borderId="15" xfId="2" applyFont="1" applyBorder="1" applyAlignment="1">
      <alignment horizontal="center" wrapText="1"/>
    </xf>
    <xf numFmtId="0" fontId="159" fillId="28" borderId="15" xfId="0" applyFont="1" applyFill="1" applyBorder="1" applyAlignment="1">
      <alignment horizontal="center" vertical="center" wrapText="1"/>
    </xf>
    <xf numFmtId="14" fontId="160" fillId="28" borderId="15" xfId="0" applyNumberFormat="1" applyFont="1" applyFill="1" applyBorder="1" applyAlignment="1">
      <alignment horizontal="center" vertical="center" wrapText="1"/>
    </xf>
    <xf numFmtId="0" fontId="14" fillId="0" borderId="15" xfId="0" applyFont="1" applyBorder="1" applyAlignment="1">
      <alignment horizontal="center" vertical="center" wrapText="1"/>
    </xf>
    <xf numFmtId="164" fontId="23" fillId="2" borderId="15" xfId="0" applyNumberFormat="1" applyFont="1" applyFill="1" applyBorder="1" applyAlignment="1">
      <alignment horizontal="center" vertical="center" wrapText="1"/>
    </xf>
    <xf numFmtId="0" fontId="138" fillId="29" borderId="15" xfId="0" applyFont="1" applyFill="1" applyBorder="1" applyAlignment="1">
      <alignment horizontal="center" vertical="center" wrapText="1"/>
    </xf>
    <xf numFmtId="0" fontId="41" fillId="13" borderId="15" xfId="0" applyFont="1" applyFill="1" applyBorder="1" applyAlignment="1">
      <alignment horizontal="right"/>
    </xf>
    <xf numFmtId="164" fontId="4" fillId="13" borderId="15" xfId="0" applyNumberFormat="1" applyFont="1" applyFill="1" applyBorder="1"/>
    <xf numFmtId="1" fontId="4" fillId="13" borderId="15" xfId="0" applyNumberFormat="1" applyFont="1" applyFill="1" applyBorder="1" applyAlignment="1">
      <alignment horizontal="center" wrapText="1"/>
    </xf>
    <xf numFmtId="0" fontId="4" fillId="13" borderId="35" xfId="0" applyFont="1" applyFill="1" applyBorder="1" applyAlignment="1">
      <alignment horizontal="center"/>
    </xf>
    <xf numFmtId="14" fontId="135" fillId="13" borderId="15" xfId="0" applyNumberFormat="1" applyFont="1" applyFill="1" applyBorder="1" applyAlignment="1">
      <alignment horizontal="center" vertical="center" wrapText="1"/>
    </xf>
    <xf numFmtId="0" fontId="161" fillId="0" borderId="15" xfId="0" applyFont="1" applyBorder="1" applyAlignment="1">
      <alignment horizontal="center" vertical="center" wrapText="1"/>
    </xf>
    <xf numFmtId="0" fontId="3" fillId="13" borderId="15" xfId="0" applyFont="1" applyFill="1" applyBorder="1" applyAlignment="1">
      <alignment horizontal="center"/>
    </xf>
    <xf numFmtId="0" fontId="14" fillId="13" borderId="15" xfId="0" applyFont="1" applyFill="1" applyBorder="1" applyAlignment="1">
      <alignment horizontal="center" wrapText="1"/>
    </xf>
    <xf numFmtId="0" fontId="2" fillId="13" borderId="35" xfId="0" applyFont="1" applyFill="1" applyBorder="1" applyAlignment="1">
      <alignment horizontal="left" vertical="top" wrapText="1"/>
    </xf>
    <xf numFmtId="0" fontId="2" fillId="13" borderId="15" xfId="0" applyFont="1" applyFill="1" applyBorder="1" applyAlignment="1">
      <alignment horizontal="left" vertical="top" wrapText="1"/>
    </xf>
    <xf numFmtId="16" fontId="2" fillId="13" borderId="15" xfId="0" applyNumberFormat="1" applyFont="1" applyFill="1" applyBorder="1" applyAlignment="1">
      <alignment vertical="center" wrapText="1"/>
    </xf>
    <xf numFmtId="0" fontId="2" fillId="13" borderId="15" xfId="1" applyNumberFormat="1" applyFont="1" applyFill="1" applyBorder="1" applyAlignment="1" applyProtection="1">
      <alignment horizontal="left" vertical="center" wrapText="1"/>
    </xf>
    <xf numFmtId="16" fontId="4" fillId="13" borderId="15" xfId="0" applyNumberFormat="1" applyFont="1" applyFill="1" applyBorder="1" applyAlignment="1">
      <alignment vertical="center" wrapText="1"/>
    </xf>
    <xf numFmtId="16" fontId="42" fillId="13" borderId="36" xfId="0" applyNumberFormat="1" applyFont="1" applyFill="1" applyBorder="1" applyAlignment="1">
      <alignment vertical="center" wrapText="1"/>
    </xf>
    <xf numFmtId="165" fontId="14" fillId="13" borderId="15" xfId="0" applyNumberFormat="1" applyFont="1" applyFill="1" applyBorder="1" applyAlignment="1">
      <alignment horizontal="center"/>
    </xf>
    <xf numFmtId="0" fontId="5" fillId="13" borderId="15" xfId="0" applyFont="1" applyFill="1" applyBorder="1" applyAlignment="1">
      <alignment horizontal="center"/>
    </xf>
    <xf numFmtId="0" fontId="47" fillId="13" borderId="0" xfId="0" applyFont="1" applyFill="1"/>
    <xf numFmtId="0" fontId="43" fillId="13" borderId="0" xfId="0" applyFont="1" applyFill="1" applyAlignment="1">
      <alignment horizontal="center"/>
    </xf>
    <xf numFmtId="0" fontId="15" fillId="13" borderId="0" xfId="0" applyFont="1" applyFill="1" applyAlignment="1">
      <alignment horizontal="center"/>
    </xf>
    <xf numFmtId="0" fontId="90" fillId="29" borderId="36" xfId="1" applyFont="1" applyFill="1" applyBorder="1" applyAlignment="1">
      <alignment vertical="center" wrapText="1"/>
    </xf>
    <xf numFmtId="1" fontId="19" fillId="13" borderId="15" xfId="0" applyNumberFormat="1" applyFont="1" applyFill="1" applyBorder="1" applyAlignment="1">
      <alignment horizontal="right" wrapText="1"/>
    </xf>
    <xf numFmtId="0" fontId="3" fillId="0" borderId="15" xfId="0" applyFont="1" applyBorder="1" applyAlignment="1">
      <alignment horizontal="center" wrapText="1"/>
    </xf>
    <xf numFmtId="0" fontId="135" fillId="28" borderId="15" xfId="0" applyFont="1" applyFill="1" applyBorder="1" applyAlignment="1">
      <alignment horizontal="center" vertical="center" wrapText="1"/>
    </xf>
    <xf numFmtId="14" fontId="14" fillId="28" borderId="15" xfId="0" applyNumberFormat="1" applyFont="1" applyFill="1" applyBorder="1" applyAlignment="1">
      <alignment horizontal="center" vertical="center" wrapText="1"/>
    </xf>
    <xf numFmtId="14" fontId="135" fillId="28" borderId="15" xfId="0" applyNumberFormat="1" applyFont="1" applyFill="1" applyBorder="1" applyAlignment="1">
      <alignment horizontal="center" vertical="center" wrapText="1"/>
    </xf>
    <xf numFmtId="0" fontId="162" fillId="29" borderId="15" xfId="1" applyNumberFormat="1" applyFont="1" applyFill="1" applyBorder="1" applyAlignment="1" applyProtection="1">
      <alignment vertical="center" wrapText="1"/>
    </xf>
    <xf numFmtId="0" fontId="2" fillId="29" borderId="15" xfId="1" applyNumberFormat="1" applyFont="1" applyFill="1" applyBorder="1" applyAlignment="1" applyProtection="1">
      <alignment horizontal="center" vertical="center" wrapText="1"/>
    </xf>
    <xf numFmtId="0" fontId="162" fillId="29" borderId="36" xfId="1" applyNumberFormat="1" applyFont="1" applyFill="1" applyBorder="1" applyAlignment="1" applyProtection="1">
      <alignment vertical="center" wrapText="1"/>
    </xf>
    <xf numFmtId="0" fontId="4" fillId="0" borderId="0" xfId="0" applyFont="1" applyAlignment="1">
      <alignment horizontal="center" vertical="top"/>
    </xf>
    <xf numFmtId="0" fontId="16" fillId="0" borderId="15" xfId="0" applyFont="1" applyBorder="1" applyAlignment="1">
      <alignment horizontal="center" vertical="center"/>
    </xf>
    <xf numFmtId="0" fontId="16" fillId="0" borderId="15" xfId="0" applyFont="1" applyBorder="1" applyAlignment="1">
      <alignment horizontal="center" vertical="center" wrapText="1"/>
    </xf>
    <xf numFmtId="0" fontId="27" fillId="0" borderId="15" xfId="0" applyFont="1" applyBorder="1" applyAlignment="1">
      <alignment horizontal="center" vertical="center"/>
    </xf>
    <xf numFmtId="0" fontId="3" fillId="0" borderId="15" xfId="0" applyFont="1" applyBorder="1" applyAlignment="1">
      <alignment horizontal="center" vertical="top" wrapText="1"/>
    </xf>
    <xf numFmtId="0" fontId="76" fillId="17" borderId="15" xfId="0" applyFont="1" applyFill="1" applyBorder="1" applyAlignment="1">
      <alignment horizontal="center" vertical="top" wrapText="1"/>
    </xf>
    <xf numFmtId="0" fontId="4" fillId="0" borderId="15" xfId="0" applyFont="1" applyBorder="1" applyAlignment="1">
      <alignment horizontal="center" vertical="top" wrapText="1"/>
    </xf>
    <xf numFmtId="0" fontId="4" fillId="2" borderId="15" xfId="0" applyFont="1" applyFill="1" applyBorder="1" applyAlignment="1">
      <alignment horizontal="center" vertical="top" wrapText="1"/>
    </xf>
    <xf numFmtId="0" fontId="4" fillId="2" borderId="15" xfId="0" applyFont="1" applyFill="1" applyBorder="1" applyAlignment="1">
      <alignment horizontal="center" vertical="top"/>
    </xf>
    <xf numFmtId="0" fontId="4" fillId="12" borderId="15" xfId="0" applyFont="1" applyFill="1" applyBorder="1" applyAlignment="1">
      <alignment horizontal="center" vertical="top"/>
    </xf>
    <xf numFmtId="0" fontId="4" fillId="0" borderId="15" xfId="0" applyFont="1" applyBorder="1" applyAlignment="1">
      <alignment horizontal="center" vertical="top"/>
    </xf>
    <xf numFmtId="0" fontId="4" fillId="12" borderId="15" xfId="0" applyFont="1" applyFill="1" applyBorder="1" applyAlignment="1">
      <alignment horizontal="center" vertical="top" wrapText="1"/>
    </xf>
    <xf numFmtId="0" fontId="4" fillId="13" borderId="15" xfId="0" applyFont="1" applyFill="1" applyBorder="1" applyAlignment="1">
      <alignment horizontal="center" vertical="top" wrapText="1"/>
    </xf>
    <xf numFmtId="0" fontId="40" fillId="0" borderId="15" xfId="0" applyFont="1" applyBorder="1" applyAlignment="1">
      <alignment horizontal="center" vertical="top" wrapText="1"/>
    </xf>
    <xf numFmtId="0" fontId="4" fillId="4" borderId="15" xfId="0" applyFont="1" applyFill="1" applyBorder="1" applyAlignment="1">
      <alignment horizontal="center" vertical="top" wrapText="1"/>
    </xf>
    <xf numFmtId="0" fontId="40" fillId="2" borderId="15" xfId="0" applyFont="1" applyFill="1" applyBorder="1" applyAlignment="1">
      <alignment horizontal="center" vertical="top" wrapText="1"/>
    </xf>
    <xf numFmtId="0" fontId="40" fillId="12" borderId="15" xfId="0" applyFont="1" applyFill="1" applyBorder="1" applyAlignment="1">
      <alignment horizontal="center" vertical="top" wrapText="1"/>
    </xf>
    <xf numFmtId="0" fontId="40" fillId="4" borderId="15" xfId="0" applyFont="1" applyFill="1" applyBorder="1" applyAlignment="1">
      <alignment horizontal="center" vertical="top" wrapText="1"/>
    </xf>
    <xf numFmtId="0" fontId="27" fillId="18" borderId="15" xfId="0" applyFont="1" applyFill="1" applyBorder="1" applyAlignment="1">
      <alignment horizontal="center" vertical="top" wrapText="1"/>
    </xf>
    <xf numFmtId="0" fontId="27" fillId="17" borderId="15" xfId="0" applyFont="1" applyFill="1" applyBorder="1" applyAlignment="1">
      <alignment horizontal="center" vertical="top" wrapText="1"/>
    </xf>
    <xf numFmtId="0" fontId="54" fillId="2" borderId="15" xfId="0" applyFont="1" applyFill="1" applyBorder="1" applyAlignment="1">
      <alignment horizontal="center" vertical="top" wrapText="1"/>
    </xf>
    <xf numFmtId="0" fontId="4" fillId="16" borderId="15" xfId="0" applyFont="1" applyFill="1" applyBorder="1" applyAlignment="1">
      <alignment horizontal="center" vertical="top" wrapText="1"/>
    </xf>
    <xf numFmtId="0" fontId="40" fillId="2" borderId="15" xfId="0" applyFont="1" applyFill="1" applyBorder="1" applyAlignment="1">
      <alignment horizontal="center" vertical="top"/>
    </xf>
    <xf numFmtId="14" fontId="128" fillId="28" borderId="15" xfId="0" applyNumberFormat="1" applyFont="1" applyFill="1" applyBorder="1" applyAlignment="1">
      <alignment horizontal="center" vertical="center" wrapText="1"/>
    </xf>
    <xf numFmtId="0" fontId="10" fillId="0" borderId="15" xfId="0" applyFont="1" applyBorder="1" applyAlignment="1">
      <alignment horizontal="center" wrapText="1"/>
    </xf>
    <xf numFmtId="0" fontId="93" fillId="0" borderId="15" xfId="1" applyFont="1" applyFill="1" applyBorder="1" applyAlignment="1">
      <alignment vertical="center" wrapText="1"/>
    </xf>
    <xf numFmtId="164" fontId="14" fillId="12" borderId="15" xfId="0" applyNumberFormat="1" applyFont="1" applyFill="1" applyBorder="1" applyAlignment="1">
      <alignment horizontal="left" vertical="top" wrapText="1"/>
    </xf>
    <xf numFmtId="164" fontId="15" fillId="12" borderId="15" xfId="0" applyNumberFormat="1" applyFont="1" applyFill="1" applyBorder="1" applyAlignment="1">
      <alignment horizontal="left" vertical="top" wrapText="1"/>
    </xf>
    <xf numFmtId="0" fontId="143" fillId="31" borderId="15" xfId="1" applyFont="1" applyFill="1" applyBorder="1" applyAlignment="1">
      <alignment horizontal="center" vertical="center" wrapText="1"/>
    </xf>
    <xf numFmtId="0" fontId="143" fillId="0" borderId="15" xfId="1" applyFont="1" applyFill="1" applyBorder="1" applyAlignment="1">
      <alignment horizontal="center" vertical="center" wrapText="1"/>
    </xf>
    <xf numFmtId="14" fontId="143" fillId="30" borderId="31" xfId="1" applyNumberFormat="1" applyFont="1" applyFill="1" applyBorder="1" applyAlignment="1">
      <alignment horizontal="center" vertical="center" wrapText="1"/>
    </xf>
    <xf numFmtId="14" fontId="143" fillId="28" borderId="31" xfId="1" applyNumberFormat="1" applyFont="1" applyFill="1" applyBorder="1" applyAlignment="1">
      <alignment horizontal="center" vertical="center" wrapText="1"/>
    </xf>
    <xf numFmtId="164" fontId="143" fillId="12" borderId="15" xfId="1" applyNumberFormat="1" applyFont="1" applyFill="1" applyBorder="1" applyAlignment="1">
      <alignment horizontal="center" vertical="center" wrapText="1"/>
    </xf>
    <xf numFmtId="0" fontId="158" fillId="17" borderId="15" xfId="0" applyFont="1" applyFill="1" applyBorder="1" applyAlignment="1">
      <alignment horizontal="left" vertical="top" wrapText="1"/>
    </xf>
    <xf numFmtId="0" fontId="81" fillId="13" borderId="15" xfId="0" applyFont="1" applyFill="1" applyBorder="1" applyAlignment="1">
      <alignment vertical="center" wrapText="1"/>
    </xf>
    <xf numFmtId="1" fontId="100" fillId="11" borderId="15" xfId="0" applyNumberFormat="1" applyFont="1" applyFill="1" applyBorder="1" applyAlignment="1">
      <alignment horizontal="center" vertical="center" wrapText="1"/>
    </xf>
    <xf numFmtId="0" fontId="3" fillId="0" borderId="35" xfId="0" applyFont="1" applyBorder="1" applyAlignment="1">
      <alignment horizontal="center" vertical="center" wrapText="1"/>
    </xf>
    <xf numFmtId="0" fontId="32" fillId="0" borderId="15" xfId="2" applyFont="1" applyBorder="1" applyAlignment="1">
      <alignment horizontal="center" vertical="center" wrapText="1"/>
    </xf>
    <xf numFmtId="0" fontId="157" fillId="0" borderId="15" xfId="0" applyFont="1" applyBorder="1" applyAlignment="1">
      <alignment horizontal="center" vertical="center" wrapText="1"/>
    </xf>
    <xf numFmtId="0" fontId="139" fillId="0" borderId="17" xfId="0" applyFont="1" applyBorder="1" applyAlignment="1">
      <alignment horizontal="center" vertical="top" wrapText="1"/>
    </xf>
    <xf numFmtId="0" fontId="3" fillId="0" borderId="36" xfId="0" applyFont="1" applyBorder="1" applyAlignment="1">
      <alignment horizontal="center" vertical="center" wrapText="1"/>
    </xf>
    <xf numFmtId="0" fontId="142" fillId="0" borderId="17" xfId="0" applyFont="1" applyBorder="1" applyAlignment="1">
      <alignment horizontal="center" vertical="center" wrapText="1"/>
    </xf>
    <xf numFmtId="0" fontId="42" fillId="0" borderId="15" xfId="0" applyFont="1" applyBorder="1" applyAlignment="1">
      <alignment horizontal="center" vertical="center" wrapText="1"/>
    </xf>
    <xf numFmtId="0" fontId="127" fillId="0" borderId="15" xfId="0" applyFont="1" applyBorder="1" applyAlignment="1">
      <alignment horizontal="center" vertical="center" wrapText="1"/>
    </xf>
    <xf numFmtId="0" fontId="131" fillId="0" borderId="15" xfId="0" applyFont="1" applyBorder="1" applyAlignment="1">
      <alignment horizontal="center" vertical="center" wrapText="1"/>
    </xf>
    <xf numFmtId="0" fontId="103" fillId="0" borderId="15" xfId="0" applyFont="1" applyBorder="1" applyAlignment="1">
      <alignment horizontal="center" vertical="center" wrapText="1"/>
    </xf>
    <xf numFmtId="1" fontId="8" fillId="0" borderId="15" xfId="0" applyNumberFormat="1" applyFont="1" applyBorder="1" applyAlignment="1">
      <alignment horizontal="right" wrapText="1"/>
    </xf>
    <xf numFmtId="0" fontId="8" fillId="0" borderId="15" xfId="0" applyFont="1" applyBorder="1" applyAlignment="1">
      <alignment horizontal="right" wrapText="1"/>
    </xf>
    <xf numFmtId="49" fontId="2" fillId="16" borderId="15" xfId="0" applyNumberFormat="1" applyFont="1" applyFill="1" applyBorder="1" applyAlignment="1">
      <alignment horizontal="right"/>
    </xf>
    <xf numFmtId="0" fontId="3" fillId="16" borderId="15" xfId="0" applyFont="1" applyFill="1" applyBorder="1" applyAlignment="1">
      <alignment horizontal="center" vertical="center" wrapText="1"/>
    </xf>
    <xf numFmtId="0" fontId="40" fillId="13" borderId="15" xfId="0" applyFont="1" applyFill="1" applyBorder="1" applyAlignment="1">
      <alignment horizontal="left" vertical="top" wrapText="1"/>
    </xf>
    <xf numFmtId="0" fontId="3" fillId="13" borderId="15" xfId="0" applyFont="1" applyFill="1" applyBorder="1" applyAlignment="1">
      <alignment horizontal="center" vertical="center" wrapText="1"/>
    </xf>
    <xf numFmtId="49" fontId="2" fillId="13" borderId="15" xfId="0" applyNumberFormat="1" applyFont="1" applyFill="1" applyBorder="1" applyAlignment="1">
      <alignment horizontal="right" vertical="center" wrapText="1"/>
    </xf>
    <xf numFmtId="0" fontId="35" fillId="16" borderId="15" xfId="0" applyFont="1" applyFill="1" applyBorder="1" applyAlignment="1">
      <alignment horizontal="right" wrapText="1"/>
    </xf>
    <xf numFmtId="1" fontId="6" fillId="16" borderId="15" xfId="0" applyNumberFormat="1" applyFont="1" applyFill="1" applyBorder="1" applyAlignment="1">
      <alignment horizontal="right" wrapText="1"/>
    </xf>
    <xf numFmtId="1" fontId="19" fillId="16" borderId="15" xfId="0" applyNumberFormat="1" applyFont="1" applyFill="1" applyBorder="1" applyAlignment="1">
      <alignment horizontal="right"/>
    </xf>
    <xf numFmtId="1" fontId="19" fillId="16" borderId="15" xfId="0" applyNumberFormat="1" applyFont="1" applyFill="1" applyBorder="1" applyAlignment="1">
      <alignment horizontal="right" wrapText="1"/>
    </xf>
    <xf numFmtId="164" fontId="19" fillId="16" borderId="15" xfId="0" applyNumberFormat="1" applyFont="1" applyFill="1" applyBorder="1" applyAlignment="1">
      <alignment horizontal="right" wrapText="1"/>
    </xf>
    <xf numFmtId="1" fontId="19" fillId="13" borderId="15" xfId="0" applyNumberFormat="1" applyFont="1" applyFill="1" applyBorder="1" applyAlignment="1">
      <alignment horizontal="right"/>
    </xf>
    <xf numFmtId="164" fontId="19" fillId="13" borderId="15" xfId="0" applyNumberFormat="1" applyFont="1" applyFill="1" applyBorder="1" applyAlignment="1">
      <alignment horizontal="right"/>
    </xf>
    <xf numFmtId="0" fontId="35" fillId="13" borderId="15" xfId="0" applyFont="1" applyFill="1" applyBorder="1" applyAlignment="1">
      <alignment horizontal="right" wrapText="1"/>
    </xf>
    <xf numFmtId="0" fontId="19" fillId="13" borderId="15" xfId="0" applyFont="1" applyFill="1" applyBorder="1" applyAlignment="1">
      <alignment horizontal="right" wrapText="1"/>
    </xf>
    <xf numFmtId="0" fontId="41" fillId="13" borderId="15" xfId="0" applyFont="1" applyFill="1" applyBorder="1" applyAlignment="1">
      <alignment vertical="top"/>
    </xf>
    <xf numFmtId="1" fontId="9" fillId="11" borderId="15" xfId="0" applyNumberFormat="1" applyFont="1" applyFill="1" applyBorder="1" applyAlignment="1">
      <alignment horizontal="center" vertical="center" wrapText="1"/>
    </xf>
    <xf numFmtId="0" fontId="6" fillId="13" borderId="15" xfId="0" applyFont="1" applyFill="1" applyBorder="1" applyAlignment="1">
      <alignment horizontal="right" wrapText="1"/>
    </xf>
    <xf numFmtId="1" fontId="8" fillId="13" borderId="15" xfId="0" applyNumberFormat="1" applyFont="1" applyFill="1" applyBorder="1" applyAlignment="1">
      <alignment horizontal="right" wrapText="1"/>
    </xf>
    <xf numFmtId="0" fontId="8" fillId="13" borderId="15" xfId="0" applyFont="1" applyFill="1" applyBorder="1" applyAlignment="1">
      <alignment horizontal="right" wrapText="1"/>
    </xf>
    <xf numFmtId="49" fontId="42" fillId="0" borderId="15" xfId="0" applyNumberFormat="1" applyFont="1" applyBorder="1" applyAlignment="1">
      <alignment horizontal="right" wrapText="1"/>
    </xf>
    <xf numFmtId="0" fontId="161" fillId="0" borderId="15" xfId="0" applyFont="1" applyBorder="1" applyAlignment="1">
      <alignment horizontal="center" wrapText="1"/>
    </xf>
    <xf numFmtId="0" fontId="37" fillId="0" borderId="15" xfId="1" applyFill="1" applyBorder="1" applyAlignment="1">
      <alignment vertical="center" wrapText="1"/>
    </xf>
    <xf numFmtId="0" fontId="37" fillId="0" borderId="15" xfId="1" applyNumberFormat="1" applyFill="1" applyBorder="1" applyAlignment="1" applyProtection="1">
      <alignment horizontal="center" vertical="center" wrapText="1"/>
    </xf>
    <xf numFmtId="0" fontId="37" fillId="0" borderId="36" xfId="1" applyFill="1" applyBorder="1" applyAlignment="1">
      <alignment vertical="center" wrapText="1"/>
    </xf>
    <xf numFmtId="0" fontId="87" fillId="0" borderId="15" xfId="1" applyNumberFormat="1" applyFont="1" applyFill="1" applyBorder="1" applyAlignment="1" applyProtection="1">
      <alignment horizontal="center" vertical="center" wrapText="1"/>
    </xf>
    <xf numFmtId="0" fontId="89" fillId="0" borderId="36" xfId="0" applyFont="1" applyBorder="1" applyAlignment="1">
      <alignment vertical="center" wrapText="1"/>
    </xf>
    <xf numFmtId="0" fontId="161" fillId="0" borderId="15" xfId="0" applyFont="1" applyBorder="1" applyAlignment="1">
      <alignment horizontal="center" vertical="top" wrapText="1"/>
    </xf>
    <xf numFmtId="0" fontId="164" fillId="0" borderId="15" xfId="0" applyFont="1" applyBorder="1" applyAlignment="1">
      <alignment horizontal="center" vertical="top" wrapText="1"/>
    </xf>
    <xf numFmtId="0" fontId="165" fillId="0" borderId="15" xfId="2" applyFont="1" applyBorder="1" applyAlignment="1">
      <alignment horizontal="center" vertical="top" wrapText="1"/>
    </xf>
    <xf numFmtId="14" fontId="138" fillId="0" borderId="16" xfId="0" applyNumberFormat="1" applyFont="1" applyBorder="1" applyAlignment="1">
      <alignment horizontal="center" vertical="top" wrapText="1"/>
    </xf>
    <xf numFmtId="14" fontId="138" fillId="0" borderId="15" xfId="0" applyNumberFormat="1" applyFont="1" applyBorder="1" applyAlignment="1">
      <alignment horizontal="center" vertical="top" wrapText="1"/>
    </xf>
    <xf numFmtId="14" fontId="138" fillId="0" borderId="31" xfId="0" applyNumberFormat="1" applyFont="1" applyBorder="1" applyAlignment="1">
      <alignment horizontal="center" vertical="top" wrapText="1"/>
    </xf>
    <xf numFmtId="14" fontId="143" fillId="28" borderId="17" xfId="1" applyNumberFormat="1" applyFont="1" applyFill="1" applyBorder="1" applyAlignment="1">
      <alignment horizontal="center" vertical="center" wrapText="1"/>
    </xf>
    <xf numFmtId="14" fontId="166" fillId="28" borderId="15" xfId="1" applyNumberFormat="1" applyFont="1" applyFill="1" applyBorder="1" applyAlignment="1">
      <alignment horizontal="center" vertical="center" wrapText="1"/>
    </xf>
    <xf numFmtId="0" fontId="138" fillId="0" borderId="15" xfId="0" applyFont="1" applyBorder="1" applyAlignment="1">
      <alignment horizontal="center" vertical="top" wrapText="1"/>
    </xf>
    <xf numFmtId="0" fontId="1" fillId="0" borderId="15" xfId="2" applyBorder="1" applyAlignment="1">
      <alignment horizontal="center" vertical="top" wrapText="1"/>
    </xf>
    <xf numFmtId="0" fontId="48" fillId="0" borderId="15" xfId="2" applyFont="1" applyBorder="1" applyAlignment="1">
      <alignment horizontal="center" vertical="top" wrapText="1"/>
    </xf>
    <xf numFmtId="0" fontId="161" fillId="0" borderId="15" xfId="2" applyFont="1" applyBorder="1" applyAlignment="1">
      <alignment horizontal="center" vertical="top" wrapText="1"/>
    </xf>
    <xf numFmtId="14" fontId="92" fillId="29" borderId="15" xfId="0" applyNumberFormat="1" applyFont="1" applyFill="1" applyBorder="1" applyAlignment="1">
      <alignment vertical="center" wrapText="1"/>
    </xf>
    <xf numFmtId="0" fontId="82" fillId="0" borderId="0" xfId="0" applyFont="1"/>
    <xf numFmtId="49" fontId="85" fillId="0" borderId="15" xfId="0" applyNumberFormat="1" applyFont="1" applyBorder="1"/>
    <xf numFmtId="0" fontId="81" fillId="0" borderId="20" xfId="0" applyFont="1" applyBorder="1" applyAlignment="1">
      <alignment horizontal="center" vertical="center" wrapText="1"/>
    </xf>
    <xf numFmtId="0" fontId="81" fillId="20" borderId="15" xfId="0" applyFont="1" applyFill="1" applyBorder="1" applyAlignment="1">
      <alignment vertical="center" wrapText="1"/>
    </xf>
    <xf numFmtId="0" fontId="144" fillId="0" borderId="18" xfId="0" applyFont="1" applyBorder="1" applyAlignment="1">
      <alignment horizontal="center" vertical="center" wrapText="1"/>
    </xf>
    <xf numFmtId="0" fontId="81" fillId="21" borderId="15" xfId="0" applyFont="1" applyFill="1" applyBorder="1" applyAlignment="1">
      <alignment horizontal="center" vertical="center" wrapText="1"/>
    </xf>
    <xf numFmtId="1" fontId="81" fillId="0" borderId="15" xfId="0" applyNumberFormat="1" applyFont="1" applyBorder="1" applyAlignment="1">
      <alignment horizontal="center" vertical="center"/>
    </xf>
    <xf numFmtId="1" fontId="146" fillId="0" borderId="15" xfId="0" applyNumberFormat="1" applyFont="1" applyBorder="1" applyAlignment="1">
      <alignment horizontal="center" vertical="center"/>
    </xf>
    <xf numFmtId="164" fontId="146" fillId="0" borderId="15" xfId="0" applyNumberFormat="1" applyFont="1" applyBorder="1" applyAlignment="1">
      <alignment horizontal="center" vertical="center"/>
    </xf>
    <xf numFmtId="0" fontId="81" fillId="0" borderId="15" xfId="0" applyFont="1" applyBorder="1" applyAlignment="1">
      <alignment vertical="center" wrapText="1"/>
    </xf>
    <xf numFmtId="0" fontId="81" fillId="0" borderId="3" xfId="0" applyFont="1" applyBorder="1" applyAlignment="1">
      <alignment vertical="center" wrapText="1"/>
    </xf>
    <xf numFmtId="0" fontId="144" fillId="13" borderId="18" xfId="0" applyFont="1" applyFill="1" applyBorder="1" applyAlignment="1">
      <alignment horizontal="center" vertical="center" wrapText="1"/>
    </xf>
    <xf numFmtId="0" fontId="81" fillId="13" borderId="15" xfId="0" applyFont="1" applyFill="1" applyBorder="1" applyAlignment="1">
      <alignment horizontal="center" vertical="center" wrapText="1"/>
    </xf>
    <xf numFmtId="1" fontId="81" fillId="13" borderId="15" xfId="0" applyNumberFormat="1" applyFont="1" applyFill="1" applyBorder="1" applyAlignment="1">
      <alignment horizontal="center" vertical="center"/>
    </xf>
    <xf numFmtId="1" fontId="144" fillId="13" borderId="15" xfId="0" applyNumberFormat="1" applyFont="1" applyFill="1" applyBorder="1" applyAlignment="1">
      <alignment horizontal="center" vertical="center" wrapText="1"/>
    </xf>
    <xf numFmtId="0" fontId="81" fillId="0" borderId="2" xfId="0" applyFont="1" applyBorder="1" applyAlignment="1">
      <alignment horizontal="center" vertical="center" wrapText="1"/>
    </xf>
    <xf numFmtId="0" fontId="81" fillId="10" borderId="3" xfId="0" applyFont="1" applyFill="1" applyBorder="1" applyAlignment="1">
      <alignment horizontal="left" vertical="center" wrapText="1"/>
    </xf>
    <xf numFmtId="0" fontId="144" fillId="10" borderId="9" xfId="0" applyFont="1" applyFill="1" applyBorder="1" applyAlignment="1">
      <alignment horizontal="center" vertical="center" wrapText="1"/>
    </xf>
    <xf numFmtId="1" fontId="144" fillId="0" borderId="15" xfId="0" applyNumberFormat="1" applyFont="1" applyBorder="1" applyAlignment="1">
      <alignment horizontal="center" vertical="center"/>
    </xf>
    <xf numFmtId="0" fontId="144" fillId="0" borderId="9" xfId="0" applyFont="1" applyBorder="1" applyAlignment="1">
      <alignment horizontal="center" vertical="center" wrapText="1"/>
    </xf>
    <xf numFmtId="0" fontId="167" fillId="0" borderId="2" xfId="0" applyFont="1" applyBorder="1" applyAlignment="1">
      <alignment vertical="center" wrapText="1"/>
    </xf>
    <xf numFmtId="0" fontId="81" fillId="0" borderId="7" xfId="0" applyFont="1" applyBorder="1" applyAlignment="1">
      <alignment horizontal="center" vertical="center" wrapText="1"/>
    </xf>
    <xf numFmtId="0" fontId="144" fillId="0" borderId="1" xfId="0" applyFont="1" applyBorder="1" applyAlignment="1">
      <alignment horizontal="center" vertical="center" wrapText="1"/>
    </xf>
    <xf numFmtId="0" fontId="167" fillId="0" borderId="7" xfId="0" applyFont="1" applyBorder="1" applyAlignment="1">
      <alignment horizontal="center" vertical="center" wrapText="1"/>
    </xf>
    <xf numFmtId="0" fontId="167" fillId="10" borderId="2" xfId="0" applyFont="1" applyFill="1" applyBorder="1" applyAlignment="1">
      <alignment vertical="center" wrapText="1"/>
    </xf>
    <xf numFmtId="0" fontId="167" fillId="10" borderId="1" xfId="0" applyFont="1" applyFill="1" applyBorder="1" applyAlignment="1">
      <alignment horizontal="left" vertical="center" wrapText="1"/>
    </xf>
    <xf numFmtId="0" fontId="81" fillId="8" borderId="15" xfId="0" applyFont="1" applyFill="1" applyBorder="1" applyAlignment="1">
      <alignment horizontal="center" vertical="center"/>
    </xf>
    <xf numFmtId="0" fontId="163" fillId="0" borderId="15" xfId="0" applyFont="1" applyBorder="1" applyAlignment="1">
      <alignment horizontal="center" vertical="center" wrapText="1"/>
    </xf>
    <xf numFmtId="0" fontId="168" fillId="0" borderId="7" xfId="0" applyFont="1" applyBorder="1" applyAlignment="1">
      <alignment horizontal="center" vertical="center" wrapText="1"/>
    </xf>
    <xf numFmtId="0" fontId="167" fillId="0" borderId="1" xfId="0" applyFont="1" applyBorder="1" applyAlignment="1">
      <alignment horizontal="left" vertical="center" wrapText="1"/>
    </xf>
    <xf numFmtId="0" fontId="163" fillId="0" borderId="15" xfId="0" applyFont="1" applyBorder="1" applyAlignment="1">
      <alignment horizontal="center" vertical="center"/>
    </xf>
    <xf numFmtId="0" fontId="81" fillId="0" borderId="17" xfId="0" applyFont="1" applyBorder="1" applyAlignment="1">
      <alignment vertical="center" wrapText="1"/>
    </xf>
    <xf numFmtId="49" fontId="85" fillId="0" borderId="16" xfId="0" applyNumberFormat="1" applyFont="1" applyBorder="1"/>
    <xf numFmtId="0" fontId="81" fillId="0" borderId="21" xfId="0" applyFont="1" applyBorder="1" applyAlignment="1">
      <alignment horizontal="center" vertical="center" wrapText="1"/>
    </xf>
    <xf numFmtId="0" fontId="81" fillId="0" borderId="4" xfId="0" applyFont="1" applyBorder="1" applyAlignment="1">
      <alignment vertical="center" wrapText="1"/>
    </xf>
    <xf numFmtId="0" fontId="144" fillId="13" borderId="19" xfId="0" applyFont="1" applyFill="1" applyBorder="1" applyAlignment="1">
      <alignment horizontal="center" vertical="center" wrapText="1"/>
    </xf>
    <xf numFmtId="0" fontId="81" fillId="13" borderId="16" xfId="0" applyFont="1" applyFill="1" applyBorder="1" applyAlignment="1">
      <alignment horizontal="center" vertical="center" wrapText="1"/>
    </xf>
    <xf numFmtId="0" fontId="81" fillId="0" borderId="16" xfId="0" applyFont="1" applyBorder="1" applyAlignment="1">
      <alignment horizontal="center" vertical="center" wrapText="1"/>
    </xf>
    <xf numFmtId="1" fontId="81" fillId="0" borderId="16" xfId="0" applyNumberFormat="1" applyFont="1" applyBorder="1" applyAlignment="1">
      <alignment horizontal="center" vertical="center"/>
    </xf>
    <xf numFmtId="1" fontId="144" fillId="0" borderId="16" xfId="0" applyNumberFormat="1" applyFont="1" applyBorder="1" applyAlignment="1">
      <alignment horizontal="center" vertical="center" wrapText="1"/>
    </xf>
    <xf numFmtId="1" fontId="146" fillId="0" borderId="16" xfId="0" applyNumberFormat="1" applyFont="1" applyBorder="1" applyAlignment="1">
      <alignment horizontal="center" vertical="center"/>
    </xf>
    <xf numFmtId="164" fontId="146" fillId="0" borderId="16" xfId="0" applyNumberFormat="1" applyFont="1" applyBorder="1" applyAlignment="1">
      <alignment horizontal="center" vertical="center"/>
    </xf>
    <xf numFmtId="0" fontId="81" fillId="0" borderId="16" xfId="0" applyFont="1" applyBorder="1" applyAlignment="1">
      <alignment horizontal="center" vertical="center"/>
    </xf>
    <xf numFmtId="0" fontId="3" fillId="2" borderId="15" xfId="0" applyFont="1" applyFill="1" applyBorder="1" applyAlignment="1">
      <alignment horizontal="center" vertical="top" wrapText="1"/>
    </xf>
    <xf numFmtId="0" fontId="83" fillId="2" borderId="15" xfId="0" applyFont="1" applyFill="1" applyBorder="1" applyAlignment="1">
      <alignment horizontal="center" vertical="top" wrapText="1"/>
    </xf>
    <xf numFmtId="1" fontId="83" fillId="2" borderId="15" xfId="0" applyNumberFormat="1" applyFont="1" applyFill="1" applyBorder="1" applyAlignment="1">
      <alignment horizontal="right" vertical="top" wrapText="1"/>
    </xf>
    <xf numFmtId="0" fontId="83" fillId="2" borderId="15" xfId="0" applyFont="1" applyFill="1" applyBorder="1" applyAlignment="1">
      <alignment horizontal="right" vertical="top" wrapText="1"/>
    </xf>
    <xf numFmtId="0" fontId="3" fillId="2" borderId="15" xfId="0" applyFont="1" applyFill="1" applyBorder="1" applyAlignment="1">
      <alignment horizontal="right" vertical="top" wrapText="1"/>
    </xf>
    <xf numFmtId="0" fontId="10" fillId="13" borderId="0" xfId="0" applyFont="1" applyFill="1" applyAlignment="1">
      <alignment horizontal="center" vertical="top"/>
    </xf>
    <xf numFmtId="164" fontId="19" fillId="2" borderId="35" xfId="0" applyNumberFormat="1" applyFont="1" applyFill="1" applyBorder="1" applyAlignment="1">
      <alignment horizontal="right" vertical="top" wrapText="1"/>
    </xf>
    <xf numFmtId="164" fontId="19" fillId="2" borderId="15" xfId="0" applyNumberFormat="1" applyFont="1" applyFill="1" applyBorder="1" applyAlignment="1">
      <alignment horizontal="right" vertical="top" wrapText="1"/>
    </xf>
    <xf numFmtId="164" fontId="126" fillId="2" borderId="15" xfId="0" applyNumberFormat="1" applyFont="1" applyFill="1" applyBorder="1" applyAlignment="1">
      <alignment horizontal="center" vertical="top" wrapText="1"/>
    </xf>
    <xf numFmtId="164" fontId="125" fillId="2" borderId="15" xfId="0" applyNumberFormat="1" applyFont="1" applyFill="1" applyBorder="1" applyAlignment="1">
      <alignment horizontal="center" vertical="top" wrapText="1"/>
    </xf>
    <xf numFmtId="164" fontId="141" fillId="2" borderId="15" xfId="0" applyNumberFormat="1" applyFont="1" applyFill="1" applyBorder="1" applyAlignment="1">
      <alignment horizontal="center" vertical="top" wrapText="1"/>
    </xf>
    <xf numFmtId="164" fontId="140" fillId="2" borderId="15" xfId="0" applyNumberFormat="1" applyFont="1" applyFill="1" applyBorder="1" applyAlignment="1">
      <alignment horizontal="center" vertical="top" wrapText="1"/>
    </xf>
    <xf numFmtId="164" fontId="129" fillId="2" borderId="15" xfId="0" applyNumberFormat="1" applyFont="1" applyFill="1" applyBorder="1" applyAlignment="1">
      <alignment horizontal="right" vertical="top" wrapText="1"/>
    </xf>
    <xf numFmtId="164" fontId="8" fillId="2" borderId="15" xfId="0" applyNumberFormat="1" applyFont="1" applyFill="1" applyBorder="1" applyAlignment="1">
      <alignment horizontal="right" vertical="top" wrapText="1"/>
    </xf>
    <xf numFmtId="164" fontId="19" fillId="2" borderId="36" xfId="0" applyNumberFormat="1" applyFont="1" applyFill="1" applyBorder="1" applyAlignment="1">
      <alignment horizontal="right" vertical="top" wrapText="1"/>
    </xf>
    <xf numFmtId="164" fontId="19" fillId="13" borderId="0" xfId="0" applyNumberFormat="1" applyFont="1" applyFill="1" applyAlignment="1">
      <alignment horizontal="right" vertical="top" wrapText="1"/>
    </xf>
    <xf numFmtId="0" fontId="10" fillId="0" borderId="0" xfId="0" applyFont="1" applyAlignment="1">
      <alignment horizontal="center" vertical="top"/>
    </xf>
    <xf numFmtId="0" fontId="40" fillId="16" borderId="15" xfId="0" applyFont="1" applyFill="1" applyBorder="1" applyAlignment="1">
      <alignment horizontal="left" vertical="top" wrapText="1"/>
    </xf>
    <xf numFmtId="1" fontId="9" fillId="13" borderId="15" xfId="0" applyNumberFormat="1" applyFont="1" applyFill="1" applyBorder="1" applyAlignment="1">
      <alignment horizontal="center" wrapText="1"/>
    </xf>
    <xf numFmtId="0" fontId="126" fillId="13" borderId="15" xfId="0" applyFont="1" applyFill="1" applyBorder="1" applyAlignment="1">
      <alignment horizontal="center" vertical="center" wrapText="1"/>
    </xf>
    <xf numFmtId="14" fontId="125" fillId="13" borderId="15" xfId="0" applyNumberFormat="1" applyFont="1" applyFill="1" applyBorder="1" applyAlignment="1">
      <alignment horizontal="center" vertical="center" wrapText="1"/>
    </xf>
    <xf numFmtId="14" fontId="141" fillId="13" borderId="15" xfId="1" applyNumberFormat="1" applyFont="1" applyFill="1" applyBorder="1" applyAlignment="1">
      <alignment horizontal="center" vertical="center" wrapText="1"/>
    </xf>
    <xf numFmtId="14" fontId="141" fillId="13" borderId="15" xfId="0" applyNumberFormat="1" applyFont="1" applyFill="1" applyBorder="1" applyAlignment="1">
      <alignment horizontal="center" vertical="center" wrapText="1"/>
    </xf>
    <xf numFmtId="0" fontId="138" fillId="13" borderId="15" xfId="0" applyFont="1" applyFill="1" applyBorder="1" applyAlignment="1">
      <alignment horizontal="center" vertical="center" wrapText="1"/>
    </xf>
    <xf numFmtId="0" fontId="45" fillId="13" borderId="15" xfId="0" applyFont="1" applyFill="1" applyBorder="1" applyAlignment="1">
      <alignment horizontal="center" vertical="center" wrapText="1"/>
    </xf>
    <xf numFmtId="0" fontId="30" fillId="13" borderId="15" xfId="0" applyFont="1" applyFill="1" applyBorder="1" applyAlignment="1">
      <alignment horizontal="center" vertical="center" wrapText="1"/>
    </xf>
    <xf numFmtId="0" fontId="36" fillId="13" borderId="36" xfId="0" applyFont="1" applyFill="1" applyBorder="1" applyAlignment="1">
      <alignment horizontal="center"/>
    </xf>
    <xf numFmtId="0" fontId="88" fillId="13" borderId="15" xfId="0" applyFont="1" applyFill="1" applyBorder="1" applyAlignment="1">
      <alignment horizontal="center" vertical="center" wrapText="1"/>
    </xf>
    <xf numFmtId="0" fontId="94" fillId="13" borderId="15" xfId="0" applyFont="1" applyFill="1" applyBorder="1" applyAlignment="1">
      <alignment vertical="center" wrapText="1"/>
    </xf>
    <xf numFmtId="0" fontId="87" fillId="13" borderId="15" xfId="0" applyFont="1" applyFill="1" applyBorder="1" applyAlignment="1">
      <alignment horizontal="center" vertical="center" wrapText="1"/>
    </xf>
    <xf numFmtId="0" fontId="106" fillId="13" borderId="15" xfId="0" applyFont="1" applyFill="1" applyBorder="1" applyAlignment="1">
      <alignment vertical="center" wrapText="1"/>
    </xf>
    <xf numFmtId="0" fontId="91" fillId="13" borderId="36" xfId="0" applyFont="1" applyFill="1" applyBorder="1" applyAlignment="1">
      <alignment vertical="center" wrapText="1"/>
    </xf>
    <xf numFmtId="0" fontId="4" fillId="16" borderId="15" xfId="0" applyFont="1" applyFill="1" applyBorder="1" applyAlignment="1">
      <alignment horizontal="center" vertical="center" wrapText="1"/>
    </xf>
    <xf numFmtId="0" fontId="6" fillId="16" borderId="15" xfId="0" applyFont="1" applyFill="1" applyBorder="1" applyAlignment="1">
      <alignment horizontal="right" wrapText="1"/>
    </xf>
    <xf numFmtId="0" fontId="87" fillId="13" borderId="15" xfId="1" applyNumberFormat="1" applyFont="1" applyFill="1" applyBorder="1" applyAlignment="1" applyProtection="1">
      <alignment horizontal="left" vertical="center" wrapText="1"/>
    </xf>
    <xf numFmtId="0" fontId="10" fillId="13" borderId="15" xfId="0" applyFont="1" applyFill="1" applyBorder="1" applyAlignment="1">
      <alignment horizontal="center"/>
    </xf>
    <xf numFmtId="0" fontId="49" fillId="13" borderId="15" xfId="0" applyFont="1" applyFill="1" applyBorder="1" applyAlignment="1">
      <alignment vertical="center" wrapText="1"/>
    </xf>
    <xf numFmtId="0" fontId="87" fillId="13" borderId="15" xfId="0" applyFont="1" applyFill="1" applyBorder="1" applyAlignment="1">
      <alignment horizontal="left" vertical="center" wrapText="1"/>
    </xf>
    <xf numFmtId="0" fontId="4" fillId="16" borderId="15" xfId="0" applyFont="1" applyFill="1" applyBorder="1" applyAlignment="1">
      <alignment horizontal="center" vertical="center"/>
    </xf>
    <xf numFmtId="0" fontId="6" fillId="16" borderId="15" xfId="0" applyFont="1" applyFill="1" applyBorder="1" applyAlignment="1">
      <alignment horizontal="right"/>
    </xf>
    <xf numFmtId="0" fontId="125" fillId="13" borderId="15" xfId="0" applyFont="1" applyFill="1" applyBorder="1" applyAlignment="1">
      <alignment horizontal="center" vertical="center" wrapText="1"/>
    </xf>
    <xf numFmtId="0" fontId="141" fillId="13" borderId="15" xfId="0" applyFont="1" applyFill="1" applyBorder="1" applyAlignment="1">
      <alignment horizontal="center" vertical="center" wrapText="1"/>
    </xf>
    <xf numFmtId="0" fontId="4" fillId="13" borderId="35" xfId="0" applyFont="1" applyFill="1" applyBorder="1" applyAlignment="1">
      <alignment vertical="center" wrapText="1"/>
    </xf>
    <xf numFmtId="0" fontId="92" fillId="13" borderId="15" xfId="0" applyFont="1" applyFill="1" applyBorder="1" applyAlignment="1">
      <alignment vertical="center" wrapText="1"/>
    </xf>
    <xf numFmtId="0" fontId="101" fillId="13" borderId="15" xfId="0" applyFont="1" applyFill="1" applyBorder="1" applyAlignment="1">
      <alignment vertical="center" wrapText="1"/>
    </xf>
    <xf numFmtId="0" fontId="89" fillId="13" borderId="36" xfId="0" applyFont="1" applyFill="1" applyBorder="1" applyAlignment="1">
      <alignment vertical="center" wrapText="1"/>
    </xf>
    <xf numFmtId="0" fontId="4" fillId="13" borderId="36" xfId="0" applyFont="1" applyFill="1" applyBorder="1" applyAlignment="1">
      <alignment horizontal="center"/>
    </xf>
    <xf numFmtId="0" fontId="2" fillId="13" borderId="15" xfId="0" applyFont="1" applyFill="1" applyBorder="1" applyAlignment="1">
      <alignment horizontal="center" vertical="center" wrapText="1"/>
    </xf>
    <xf numFmtId="0" fontId="42" fillId="13" borderId="36" xfId="0" applyFont="1" applyFill="1" applyBorder="1" applyAlignment="1">
      <alignment vertical="center" wrapText="1"/>
    </xf>
    <xf numFmtId="0" fontId="6" fillId="16" borderId="15" xfId="0" applyFont="1" applyFill="1" applyBorder="1" applyAlignment="1">
      <alignment horizontal="left" vertical="top" wrapText="1"/>
    </xf>
    <xf numFmtId="0" fontId="6" fillId="13" borderId="15" xfId="0" applyFont="1" applyFill="1" applyBorder="1" applyAlignment="1">
      <alignment horizontal="right"/>
    </xf>
    <xf numFmtId="0" fontId="19" fillId="13" borderId="15" xfId="0" applyFont="1" applyFill="1" applyBorder="1" applyAlignment="1">
      <alignment horizontal="right"/>
    </xf>
    <xf numFmtId="0" fontId="6" fillId="13" borderId="35" xfId="0" applyFont="1" applyFill="1" applyBorder="1" applyAlignment="1">
      <alignment vertical="center" wrapText="1"/>
    </xf>
    <xf numFmtId="0" fontId="6" fillId="13" borderId="15" xfId="0" applyFont="1" applyFill="1" applyBorder="1" applyAlignment="1">
      <alignment vertical="center" wrapText="1"/>
    </xf>
    <xf numFmtId="0" fontId="6" fillId="14" borderId="15" xfId="0" applyFont="1" applyFill="1" applyBorder="1" applyAlignment="1">
      <alignment horizontal="center" vertical="center"/>
    </xf>
    <xf numFmtId="49" fontId="123" fillId="32" borderId="15" xfId="0" applyNumberFormat="1" applyFont="1" applyFill="1" applyBorder="1" applyAlignment="1">
      <alignment horizontal="center" vertical="center" wrapText="1"/>
    </xf>
    <xf numFmtId="0" fontId="40" fillId="33" borderId="15" xfId="0" applyFont="1" applyFill="1" applyBorder="1" applyAlignment="1">
      <alignment horizontal="left" vertical="top" wrapText="1"/>
    </xf>
    <xf numFmtId="0" fontId="4" fillId="33" borderId="15" xfId="0" applyFont="1" applyFill="1" applyBorder="1" applyAlignment="1">
      <alignment horizontal="left" vertical="top"/>
    </xf>
    <xf numFmtId="0" fontId="4" fillId="0" borderId="0" xfId="0" applyFont="1" applyAlignment="1">
      <alignment horizontal="center" wrapText="1"/>
    </xf>
    <xf numFmtId="14" fontId="37" fillId="28" borderId="15" xfId="1" applyNumberFormat="1" applyFill="1" applyBorder="1" applyAlignment="1">
      <alignment horizontal="center" vertical="center" wrapText="1"/>
    </xf>
    <xf numFmtId="0" fontId="43" fillId="0" borderId="15" xfId="0" applyFont="1" applyBorder="1" applyAlignment="1">
      <alignment horizontal="center" vertical="center" wrapText="1"/>
    </xf>
    <xf numFmtId="0" fontId="135" fillId="13" borderId="15" xfId="0" applyFont="1" applyFill="1" applyBorder="1" applyAlignment="1">
      <alignment horizontal="center" vertical="center" wrapText="1"/>
    </xf>
    <xf numFmtId="0" fontId="14" fillId="13" borderId="15" xfId="0" applyFont="1" applyFill="1" applyBorder="1" applyAlignment="1">
      <alignment horizontal="center" vertical="center" wrapText="1"/>
    </xf>
    <xf numFmtId="0" fontId="161" fillId="13" borderId="15" xfId="0" applyFont="1" applyFill="1" applyBorder="1" applyAlignment="1">
      <alignment horizontal="center" vertical="center" wrapText="1"/>
    </xf>
    <xf numFmtId="0" fontId="2" fillId="13" borderId="15" xfId="0" applyFont="1" applyFill="1" applyBorder="1" applyAlignment="1">
      <alignment vertical="center" wrapText="1"/>
    </xf>
    <xf numFmtId="49" fontId="2" fillId="13" borderId="15" xfId="0" applyNumberFormat="1" applyFont="1" applyFill="1" applyBorder="1" applyAlignment="1">
      <alignment horizontal="center" vertical="center" wrapText="1"/>
    </xf>
    <xf numFmtId="164" fontId="4" fillId="12" borderId="15" xfId="0" applyNumberFormat="1" applyFont="1" applyFill="1" applyBorder="1" applyAlignment="1">
      <alignment horizontal="right" wrapText="1"/>
    </xf>
    <xf numFmtId="164" fontId="4" fillId="2" borderId="35" xfId="0" applyNumberFormat="1" applyFont="1" applyFill="1" applyBorder="1" applyAlignment="1">
      <alignment horizontal="right" wrapText="1"/>
    </xf>
    <xf numFmtId="164" fontId="4" fillId="2" borderId="15" xfId="0" applyNumberFormat="1" applyFont="1" applyFill="1" applyBorder="1" applyAlignment="1">
      <alignment horizontal="right" wrapText="1"/>
    </xf>
    <xf numFmtId="164" fontId="135" fillId="2" borderId="15" xfId="0" applyNumberFormat="1" applyFont="1" applyFill="1" applyBorder="1" applyAlignment="1">
      <alignment horizontal="center" vertical="center" wrapText="1"/>
    </xf>
    <xf numFmtId="164" fontId="169" fillId="2" borderId="15" xfId="0" applyNumberFormat="1" applyFont="1" applyFill="1" applyBorder="1" applyAlignment="1">
      <alignment horizontal="center" vertical="center" wrapText="1"/>
    </xf>
    <xf numFmtId="164" fontId="3" fillId="2" borderId="15" xfId="0" applyNumberFormat="1" applyFont="1" applyFill="1" applyBorder="1" applyAlignment="1">
      <alignment horizontal="right" wrapText="1"/>
    </xf>
    <xf numFmtId="164" fontId="10" fillId="2" borderId="15" xfId="0" applyNumberFormat="1" applyFont="1" applyFill="1" applyBorder="1" applyAlignment="1">
      <alignment horizontal="right" wrapText="1"/>
    </xf>
    <xf numFmtId="164" fontId="4" fillId="2" borderId="36" xfId="0" applyNumberFormat="1" applyFont="1" applyFill="1" applyBorder="1" applyAlignment="1">
      <alignment horizontal="right" wrapText="1"/>
    </xf>
    <xf numFmtId="164" fontId="4" fillId="13" borderId="0" xfId="0" applyNumberFormat="1" applyFont="1" applyFill="1" applyAlignment="1">
      <alignment horizontal="right" wrapText="1"/>
    </xf>
    <xf numFmtId="0" fontId="4" fillId="0" borderId="15" xfId="0" applyFont="1" applyBorder="1" applyAlignment="1">
      <alignment horizontal="center" wrapText="1"/>
    </xf>
    <xf numFmtId="14" fontId="161" fillId="0" borderId="15" xfId="0" applyNumberFormat="1" applyFont="1" applyBorder="1" applyAlignment="1">
      <alignment horizontal="center" vertical="top" wrapText="1"/>
    </xf>
    <xf numFmtId="0" fontId="162" fillId="29" borderId="15" xfId="1" applyNumberFormat="1" applyFont="1" applyFill="1" applyBorder="1" applyAlignment="1" applyProtection="1">
      <alignment horizontal="center" vertical="center" wrapText="1"/>
    </xf>
    <xf numFmtId="0" fontId="135" fillId="28" borderId="17" xfId="0" applyFont="1" applyFill="1" applyBorder="1" applyAlignment="1">
      <alignment horizontal="center" vertical="center" wrapText="1"/>
    </xf>
    <xf numFmtId="14" fontId="161" fillId="0" borderId="31" xfId="0" applyNumberFormat="1" applyFont="1" applyBorder="1" applyAlignment="1">
      <alignment horizontal="center" vertical="top" wrapText="1"/>
    </xf>
    <xf numFmtId="14" fontId="171" fillId="28" borderId="31" xfId="1" applyNumberFormat="1" applyFont="1" applyFill="1" applyBorder="1" applyAlignment="1">
      <alignment horizontal="center" vertical="center" wrapText="1"/>
    </xf>
    <xf numFmtId="0" fontId="42" fillId="29" borderId="36" xfId="0" applyFont="1" applyFill="1" applyBorder="1" applyAlignment="1">
      <alignment vertical="center" wrapText="1"/>
    </xf>
    <xf numFmtId="0" fontId="172" fillId="0" borderId="0" xfId="0" applyFont="1"/>
    <xf numFmtId="0" fontId="6" fillId="13" borderId="15" xfId="0" applyFont="1" applyFill="1" applyBorder="1" applyAlignment="1">
      <alignment horizontal="center" vertical="center"/>
    </xf>
    <xf numFmtId="1" fontId="59" fillId="13" borderId="15" xfId="0" applyNumberFormat="1" applyFont="1" applyFill="1" applyBorder="1" applyAlignment="1">
      <alignment horizontal="center" vertical="center" wrapText="1"/>
    </xf>
    <xf numFmtId="0" fontId="59" fillId="13" borderId="15" xfId="0" applyFont="1" applyFill="1" applyBorder="1" applyAlignment="1">
      <alignment horizontal="center" vertical="center"/>
    </xf>
    <xf numFmtId="1" fontId="68" fillId="13" borderId="15" xfId="0" applyNumberFormat="1" applyFont="1" applyFill="1" applyBorder="1" applyAlignment="1">
      <alignment horizontal="center" vertical="center" wrapText="1"/>
    </xf>
    <xf numFmtId="164" fontId="69" fillId="13" borderId="15" xfId="0" applyNumberFormat="1" applyFont="1" applyFill="1" applyBorder="1" applyAlignment="1">
      <alignment horizontal="center" vertical="center" wrapText="1"/>
    </xf>
    <xf numFmtId="0" fontId="9" fillId="13" borderId="15" xfId="0" applyFont="1" applyFill="1" applyBorder="1" applyAlignment="1">
      <alignment horizontal="center" vertical="center"/>
    </xf>
    <xf numFmtId="1" fontId="6" fillId="13" borderId="15" xfId="0" applyNumberFormat="1" applyFont="1" applyFill="1" applyBorder="1" applyAlignment="1">
      <alignment horizontal="center" vertical="center"/>
    </xf>
    <xf numFmtId="1" fontId="59" fillId="13" borderId="15" xfId="0" applyNumberFormat="1" applyFont="1" applyFill="1" applyBorder="1" applyAlignment="1">
      <alignment horizontal="center" vertical="center"/>
    </xf>
    <xf numFmtId="1" fontId="70" fillId="13" borderId="15" xfId="0" applyNumberFormat="1" applyFont="1" applyFill="1" applyBorder="1" applyAlignment="1">
      <alignment horizontal="center" vertical="center"/>
    </xf>
    <xf numFmtId="164" fontId="70" fillId="13" borderId="15" xfId="0" applyNumberFormat="1" applyFont="1" applyFill="1" applyBorder="1" applyAlignment="1">
      <alignment horizontal="center" vertical="center"/>
    </xf>
    <xf numFmtId="0" fontId="175" fillId="0" borderId="15" xfId="0" applyFont="1" applyBorder="1" applyAlignment="1">
      <alignment horizontal="left" vertical="top" wrapText="1"/>
    </xf>
    <xf numFmtId="0" fontId="2" fillId="0" borderId="0" xfId="0" applyFont="1" applyAlignment="1">
      <alignment horizontal="right"/>
    </xf>
    <xf numFmtId="0" fontId="16" fillId="0" borderId="15" xfId="0" applyFont="1" applyBorder="1" applyAlignment="1">
      <alignment horizontal="left" vertical="center"/>
    </xf>
    <xf numFmtId="0" fontId="16" fillId="0" borderId="15" xfId="0" applyFont="1" applyBorder="1" applyAlignment="1">
      <alignment horizontal="right" vertical="center"/>
    </xf>
    <xf numFmtId="0" fontId="16" fillId="0" borderId="15" xfId="0" applyFont="1" applyBorder="1" applyAlignment="1">
      <alignment horizontal="right" vertical="center" wrapText="1"/>
    </xf>
    <xf numFmtId="0" fontId="27" fillId="0" borderId="15" xfId="0" applyFont="1" applyBorder="1" applyAlignment="1">
      <alignment horizontal="right" vertical="center"/>
    </xf>
    <xf numFmtId="0" fontId="20" fillId="2" borderId="18" xfId="0" applyFont="1" applyFill="1" applyBorder="1" applyAlignment="1">
      <alignment vertical="center"/>
    </xf>
    <xf numFmtId="0" fontId="0" fillId="0" borderId="30" xfId="0" applyBorder="1" applyAlignment="1">
      <alignment vertical="center"/>
    </xf>
    <xf numFmtId="0" fontId="0" fillId="0" borderId="20" xfId="0" applyBorder="1" applyAlignment="1">
      <alignment vertical="center"/>
    </xf>
    <xf numFmtId="0" fontId="4" fillId="26" borderId="18" xfId="0" applyFont="1" applyFill="1" applyBorder="1" applyAlignment="1">
      <alignment horizontal="left" vertical="center"/>
    </xf>
    <xf numFmtId="0" fontId="4" fillId="26" borderId="30" xfId="0" applyFont="1" applyFill="1" applyBorder="1" applyAlignment="1">
      <alignment horizontal="left" vertical="center"/>
    </xf>
    <xf numFmtId="0" fontId="4" fillId="26" borderId="20" xfId="0" applyFont="1" applyFill="1" applyBorder="1" applyAlignment="1">
      <alignment horizontal="left" vertical="center"/>
    </xf>
    <xf numFmtId="0" fontId="6" fillId="27" borderId="15" xfId="0" applyFont="1" applyFill="1" applyBorder="1" applyAlignment="1">
      <alignment vertical="center" wrapText="1"/>
    </xf>
    <xf numFmtId="49" fontId="6" fillId="27" borderId="15" xfId="0" applyNumberFormat="1" applyFont="1" applyFill="1" applyBorder="1" applyAlignment="1">
      <alignment vertical="center" wrapText="1"/>
    </xf>
    <xf numFmtId="0" fontId="10" fillId="0" borderId="15"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15" xfId="0" applyFont="1" applyBorder="1" applyAlignment="1">
      <alignment horizontal="left" vertical="top" wrapText="1"/>
    </xf>
    <xf numFmtId="0" fontId="127" fillId="0" borderId="33" xfId="0" applyFont="1" applyBorder="1" applyAlignment="1">
      <alignment horizontal="center" vertical="center" wrapText="1"/>
    </xf>
    <xf numFmtId="0" fontId="127" fillId="0" borderId="15" xfId="0" applyFont="1" applyBorder="1" applyAlignment="1">
      <alignment horizontal="center" vertical="center" wrapText="1"/>
    </xf>
    <xf numFmtId="0" fontId="32" fillId="0" borderId="15" xfId="2" applyFont="1" applyBorder="1" applyAlignment="1">
      <alignment horizontal="center" vertical="center" wrapText="1"/>
    </xf>
    <xf numFmtId="0" fontId="30" fillId="0" borderId="15" xfId="0" applyFont="1" applyBorder="1" applyAlignment="1">
      <alignment horizontal="center" vertical="center" wrapText="1"/>
    </xf>
    <xf numFmtId="0" fontId="3" fillId="0" borderId="34" xfId="0" applyFont="1" applyBorder="1" applyAlignment="1">
      <alignment horizontal="center" vertical="center" wrapText="1"/>
    </xf>
    <xf numFmtId="0" fontId="3" fillId="0" borderId="36" xfId="0" applyFont="1" applyBorder="1" applyAlignment="1">
      <alignment horizontal="center" vertical="center" wrapText="1"/>
    </xf>
    <xf numFmtId="0" fontId="3" fillId="0" borderId="32" xfId="0" applyFont="1" applyBorder="1" applyAlignment="1">
      <alignment horizontal="center" vertical="center" wrapText="1"/>
    </xf>
    <xf numFmtId="0" fontId="3" fillId="0" borderId="35" xfId="0" applyFont="1" applyBorder="1" applyAlignment="1">
      <alignment horizontal="center" vertical="center" wrapText="1"/>
    </xf>
    <xf numFmtId="0" fontId="131" fillId="0" borderId="33" xfId="0" applyFont="1" applyBorder="1" applyAlignment="1">
      <alignment horizontal="center" vertical="center" wrapText="1"/>
    </xf>
    <xf numFmtId="0" fontId="131" fillId="0" borderId="15" xfId="0" applyFont="1" applyBorder="1" applyAlignment="1">
      <alignment horizontal="center" vertical="center" wrapText="1"/>
    </xf>
    <xf numFmtId="0" fontId="103" fillId="0" borderId="33" xfId="0" applyFont="1" applyBorder="1" applyAlignment="1">
      <alignment horizontal="center" vertical="center" wrapText="1"/>
    </xf>
    <xf numFmtId="0" fontId="103" fillId="0" borderId="15" xfId="0" applyFont="1" applyBorder="1" applyAlignment="1">
      <alignment horizontal="center" vertical="center" wrapText="1"/>
    </xf>
    <xf numFmtId="0" fontId="3" fillId="0" borderId="33" xfId="0" applyFont="1" applyBorder="1" applyAlignment="1">
      <alignment horizontal="center" vertical="center" wrapText="1"/>
    </xf>
    <xf numFmtId="0" fontId="157" fillId="0" borderId="33" xfId="0" applyFont="1" applyBorder="1" applyAlignment="1">
      <alignment horizontal="center" vertical="center" wrapText="1"/>
    </xf>
    <xf numFmtId="0" fontId="157" fillId="0" borderId="15" xfId="0" applyFont="1" applyBorder="1" applyAlignment="1">
      <alignment horizontal="center" vertical="center" wrapText="1"/>
    </xf>
    <xf numFmtId="0" fontId="30" fillId="0" borderId="15" xfId="2" applyFont="1" applyBorder="1" applyAlignment="1">
      <alignment horizontal="center" vertical="center" wrapText="1"/>
    </xf>
    <xf numFmtId="1" fontId="19" fillId="2" borderId="15" xfId="0" applyNumberFormat="1" applyFont="1" applyFill="1" applyBorder="1" applyAlignment="1">
      <alignment horizontal="right"/>
    </xf>
    <xf numFmtId="0" fontId="8" fillId="0" borderId="15" xfId="0" applyFont="1" applyBorder="1" applyAlignment="1">
      <alignment horizontal="center" vertical="center" wrapText="1"/>
    </xf>
    <xf numFmtId="0" fontId="139" fillId="0" borderId="40" xfId="0" applyFont="1" applyBorder="1" applyAlignment="1">
      <alignment horizontal="center" vertical="top" wrapText="1"/>
    </xf>
    <xf numFmtId="0" fontId="139" fillId="0" borderId="17" xfId="0" applyFont="1" applyBorder="1" applyAlignment="1">
      <alignment horizontal="center" vertical="top" wrapText="1"/>
    </xf>
    <xf numFmtId="0" fontId="142" fillId="0" borderId="40" xfId="0" applyFont="1" applyBorder="1" applyAlignment="1">
      <alignment horizontal="center" vertical="center" wrapText="1"/>
    </xf>
    <xf numFmtId="0" fontId="142" fillId="0" borderId="17" xfId="0" applyFont="1" applyBorder="1" applyAlignment="1">
      <alignment horizontal="center" vertical="center" wrapText="1"/>
    </xf>
    <xf numFmtId="0" fontId="10" fillId="0" borderId="15" xfId="0" applyFont="1" applyBorder="1" applyAlignment="1">
      <alignment horizontal="center" vertical="center"/>
    </xf>
    <xf numFmtId="0" fontId="17" fillId="26" borderId="15" xfId="0" applyFont="1" applyFill="1" applyBorder="1" applyAlignment="1">
      <alignment horizontal="center" vertical="center"/>
    </xf>
    <xf numFmtId="1" fontId="100" fillId="11" borderId="15" xfId="0" applyNumberFormat="1" applyFont="1" applyFill="1" applyBorder="1" applyAlignment="1">
      <alignment horizontal="center" vertical="center" wrapText="1"/>
    </xf>
    <xf numFmtId="0" fontId="6" fillId="3" borderId="15" xfId="0" applyFont="1" applyFill="1" applyBorder="1" applyAlignment="1">
      <alignment horizontal="center" vertical="center" wrapText="1"/>
    </xf>
    <xf numFmtId="0" fontId="20" fillId="10" borderId="14" xfId="0" applyFont="1" applyFill="1" applyBorder="1" applyAlignment="1">
      <alignment horizontal="center" vertical="center"/>
    </xf>
    <xf numFmtId="0" fontId="21" fillId="8" borderId="14" xfId="0" applyFont="1" applyFill="1" applyBorder="1" applyAlignment="1">
      <alignment horizontal="center" vertical="center" wrapText="1"/>
    </xf>
    <xf numFmtId="0" fontId="67" fillId="0" borderId="23" xfId="0" applyFont="1" applyBorder="1" applyAlignment="1">
      <alignment horizontal="center" vertical="center" wrapText="1"/>
    </xf>
    <xf numFmtId="0" fontId="27" fillId="0" borderId="24" xfId="0" applyFont="1" applyBorder="1" applyAlignment="1">
      <alignment horizontal="right" vertical="center"/>
    </xf>
    <xf numFmtId="14" fontId="6" fillId="10" borderId="25" xfId="0" applyNumberFormat="1" applyFont="1" applyFill="1" applyBorder="1" applyAlignment="1">
      <alignment horizontal="left" vertical="center" wrapText="1"/>
    </xf>
    <xf numFmtId="0" fontId="27" fillId="0" borderId="26" xfId="0" applyFont="1" applyBorder="1" applyAlignment="1">
      <alignment horizontal="right" vertical="center"/>
    </xf>
    <xf numFmtId="0" fontId="6" fillId="10" borderId="27" xfId="0" applyFont="1" applyFill="1" applyBorder="1" applyAlignment="1">
      <alignment horizontal="left" vertical="center" wrapText="1"/>
    </xf>
    <xf numFmtId="0" fontId="6" fillId="10" borderId="26" xfId="0" applyFont="1" applyFill="1" applyBorder="1" applyAlignment="1">
      <alignment horizontal="left" vertical="center" wrapText="1"/>
    </xf>
    <xf numFmtId="0" fontId="27" fillId="0" borderId="26" xfId="0" applyFont="1" applyBorder="1" applyAlignment="1">
      <alignment horizontal="right" vertical="center" wrapText="1"/>
    </xf>
    <xf numFmtId="0" fontId="30" fillId="0" borderId="3" xfId="0" applyFont="1" applyBorder="1" applyAlignment="1">
      <alignment horizontal="center"/>
    </xf>
    <xf numFmtId="0" fontId="30" fillId="0" borderId="2" xfId="0" applyFont="1" applyBorder="1" applyAlignment="1">
      <alignment horizontal="center" wrapText="1"/>
    </xf>
    <xf numFmtId="0" fontId="30" fillId="0" borderId="5" xfId="0" applyFont="1" applyBorder="1" applyAlignment="1">
      <alignment horizontal="center" wrapText="1"/>
    </xf>
    <xf numFmtId="0" fontId="30" fillId="0" borderId="2" xfId="0" applyFont="1" applyBorder="1" applyAlignment="1">
      <alignment horizontal="center"/>
    </xf>
    <xf numFmtId="0" fontId="27" fillId="0" borderId="28" xfId="0" applyFont="1" applyBorder="1" applyAlignment="1">
      <alignment horizontal="right" vertical="center" wrapText="1"/>
    </xf>
    <xf numFmtId="0" fontId="6" fillId="10" borderId="28" xfId="0" applyFont="1" applyFill="1" applyBorder="1" applyAlignment="1">
      <alignment horizontal="left" vertical="center" wrapText="1"/>
    </xf>
    <xf numFmtId="0" fontId="42" fillId="0" borderId="2" xfId="0" applyFont="1" applyBorder="1" applyAlignment="1">
      <alignment horizontal="center" vertical="center" wrapText="1"/>
    </xf>
    <xf numFmtId="0" fontId="5" fillId="0" borderId="2" xfId="0" applyFont="1" applyBorder="1" applyAlignment="1">
      <alignment horizontal="center" vertical="center" wrapText="1"/>
    </xf>
    <xf numFmtId="0" fontId="4" fillId="0" borderId="5" xfId="0" applyFont="1" applyBorder="1" applyAlignment="1">
      <alignment vertical="center" wrapText="1"/>
    </xf>
    <xf numFmtId="0" fontId="4" fillId="0" borderId="5" xfId="0" applyFont="1" applyBorder="1" applyAlignment="1">
      <alignment horizontal="center" vertical="center" wrapText="1"/>
    </xf>
    <xf numFmtId="0" fontId="4" fillId="0" borderId="29" xfId="0" applyFont="1" applyBorder="1" applyAlignment="1">
      <alignment horizontal="center" vertical="center" wrapText="1"/>
    </xf>
    <xf numFmtId="0" fontId="6" fillId="0" borderId="1" xfId="0" applyFont="1" applyBorder="1" applyAlignment="1">
      <alignment horizontal="center" vertical="center"/>
    </xf>
    <xf numFmtId="0" fontId="68" fillId="0" borderId="2" xfId="0" applyFont="1" applyBorder="1" applyAlignment="1">
      <alignment horizontal="center" vertical="center" wrapText="1"/>
    </xf>
    <xf numFmtId="0" fontId="9" fillId="0" borderId="2" xfId="0" applyFont="1" applyBorder="1" applyAlignment="1">
      <alignment horizontal="center" wrapText="1"/>
    </xf>
    <xf numFmtId="0" fontId="9" fillId="0" borderId="5" xfId="0" applyFont="1" applyBorder="1" applyAlignment="1">
      <alignment horizontal="center" wrapText="1"/>
    </xf>
    <xf numFmtId="0" fontId="108" fillId="0" borderId="0" xfId="0" applyFont="1" applyAlignment="1">
      <alignment horizontal="center" vertical="center"/>
    </xf>
    <xf numFmtId="0" fontId="114" fillId="0" borderId="0" xfId="0" applyFont="1" applyAlignment="1">
      <alignment horizontal="center" vertical="center"/>
    </xf>
    <xf numFmtId="0" fontId="2" fillId="0" borderId="22" xfId="0" applyFont="1" applyBorder="1" applyAlignment="1"/>
  </cellXfs>
  <cellStyles count="3">
    <cellStyle name="Гиперссылка" xfId="1" builtinId="8"/>
    <cellStyle name="Обычный" xfId="0" builtinId="0"/>
    <cellStyle name="Обычный 2" xfId="2" xr:uid="{00000000-0005-0000-0000-000002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EFEFE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E6E64C"/>
      <rgbColor rgb="0000FFFF"/>
      <rgbColor rgb="00800080"/>
      <rgbColor rgb="00800000"/>
      <rgbColor rgb="00008080"/>
      <rgbColor rgb="000000FF"/>
      <rgbColor rgb="0000CCFF"/>
      <rgbColor rgb="00CCFFFF"/>
      <rgbColor rgb="00CCFFCC"/>
      <rgbColor rgb="00FFFF99"/>
      <rgbColor rgb="0083CAFF"/>
      <rgbColor rgb="00FF99CC"/>
      <rgbColor rgb="00CC99FF"/>
      <rgbColor rgb="00FFCC99"/>
      <rgbColor rgb="003366FF"/>
      <rgbColor rgb="0033CCCC"/>
      <rgbColor rgb="0099CC00"/>
      <rgbColor rgb="00FFCC00"/>
      <rgbColor rgb="00FF9900"/>
      <rgbColor rgb="00FF6600"/>
      <rgbColor rgb="00666666"/>
      <rgbColor rgb="00969696"/>
      <rgbColor rgb="00003366"/>
      <rgbColor rgb="00339966"/>
      <rgbColor rgb="00003300"/>
      <rgbColor rgb="00333300"/>
      <rgbColor rgb="00993300"/>
      <rgbColor rgb="00993366"/>
      <rgbColor rgb="00333399"/>
      <rgbColor rgb="00333333"/>
    </indexedColors>
    <mruColors>
      <color rgb="FFFFFF99"/>
      <color rgb="FFE3E74B"/>
      <color rgb="FFFFFF66"/>
      <color rgb="FFFF9900"/>
      <color rgb="FFFFFF00"/>
      <color rgb="FFCCCC00"/>
      <color rgb="FF99FF99"/>
      <color rgb="FFCCFF33"/>
      <color rgb="FFCCEC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33618</xdr:colOff>
      <xdr:row>7</xdr:row>
      <xdr:rowOff>44825</xdr:rowOff>
    </xdr:from>
    <xdr:to>
      <xdr:col>2</xdr:col>
      <xdr:colOff>1075765</xdr:colOff>
      <xdr:row>11</xdr:row>
      <xdr:rowOff>2</xdr:rowOff>
    </xdr:to>
    <xdr:pic>
      <xdr:nvPicPr>
        <xdr:cNvPr id="1307" name="Изображения 1">
          <a:extLst>
            <a:ext uri="{FF2B5EF4-FFF2-40B4-BE49-F238E27FC236}">
              <a16:creationId xmlns:a16="http://schemas.microsoft.com/office/drawing/2014/main" id="{00000000-0008-0000-0000-00001B05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739589" y="2095501"/>
          <a:ext cx="1591235" cy="1232648"/>
        </a:xfrm>
        <a:prstGeom prst="rect">
          <a:avLst/>
        </a:prstGeom>
        <a:noFill/>
        <a:ln w="9525">
          <a:noFill/>
          <a:round/>
          <a:headEnd/>
          <a:tailEnd/>
        </a:ln>
        <a:effec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38100</xdr:colOff>
      <xdr:row>4</xdr:row>
      <xdr:rowOff>7620</xdr:rowOff>
    </xdr:from>
    <xdr:to>
      <xdr:col>3</xdr:col>
      <xdr:colOff>830580</xdr:colOff>
      <xdr:row>7</xdr:row>
      <xdr:rowOff>137160</xdr:rowOff>
    </xdr:to>
    <xdr:pic>
      <xdr:nvPicPr>
        <xdr:cNvPr id="2587" name="Изображения 1">
          <a:extLst>
            <a:ext uri="{FF2B5EF4-FFF2-40B4-BE49-F238E27FC236}">
              <a16:creationId xmlns:a16="http://schemas.microsoft.com/office/drawing/2014/main" id="{00000000-0008-0000-0100-00001B0A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 y="601980"/>
          <a:ext cx="1409700" cy="876300"/>
        </a:xfrm>
        <a:prstGeom prst="rect">
          <a:avLst/>
        </a:prstGeom>
        <a:noFill/>
        <a:ln w="9525">
          <a:noFill/>
          <a:round/>
          <a:headEnd/>
          <a:tailEnd/>
        </a:ln>
        <a:effectLst/>
      </xdr:spPr>
    </xdr:pic>
    <xdr:clientData/>
  </xdr:twoCellAnchor>
  <xdr:twoCellAnchor>
    <xdr:from>
      <xdr:col>2</xdr:col>
      <xdr:colOff>38100</xdr:colOff>
      <xdr:row>4</xdr:row>
      <xdr:rowOff>7620</xdr:rowOff>
    </xdr:from>
    <xdr:to>
      <xdr:col>3</xdr:col>
      <xdr:colOff>830580</xdr:colOff>
      <xdr:row>7</xdr:row>
      <xdr:rowOff>137160</xdr:rowOff>
    </xdr:to>
    <xdr:pic>
      <xdr:nvPicPr>
        <xdr:cNvPr id="2588" name="Изображения 1">
          <a:extLst>
            <a:ext uri="{FF2B5EF4-FFF2-40B4-BE49-F238E27FC236}">
              <a16:creationId xmlns:a16="http://schemas.microsoft.com/office/drawing/2014/main" id="{00000000-0008-0000-0100-00001C0A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 y="601980"/>
          <a:ext cx="1409700" cy="876300"/>
        </a:xfrm>
        <a:prstGeom prst="rect">
          <a:avLst/>
        </a:prstGeom>
        <a:noFill/>
        <a:ln w="9525">
          <a:noFill/>
          <a:round/>
          <a:headEnd/>
          <a:tailEnd/>
        </a:ln>
        <a:effectLst/>
      </xdr:spPr>
    </xdr:pic>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disk.yandex.ru/i/DFtqkSpJkWbEhA" TargetMode="External"/><Relationship Id="rId21" Type="http://schemas.openxmlformats.org/officeDocument/2006/relationships/hyperlink" Target="https://disk.yandex.ru/d/rD4VGX6OoMXBSg" TargetMode="External"/><Relationship Id="rId42" Type="http://schemas.openxmlformats.org/officeDocument/2006/relationships/hyperlink" Target="http://kleona.tilda.ws/skrabi_gommaj_maska" TargetMode="External"/><Relationship Id="rId63" Type="http://schemas.openxmlformats.org/officeDocument/2006/relationships/hyperlink" Target="https://disk.yandex.ru/d/YcPRh4DOxOocDQ" TargetMode="External"/><Relationship Id="rId84" Type="http://schemas.openxmlformats.org/officeDocument/2006/relationships/hyperlink" Target="https://disk.yandex.ru/d/NWO_itL6Z3v0zA" TargetMode="External"/><Relationship Id="rId138" Type="http://schemas.openxmlformats.org/officeDocument/2006/relationships/hyperlink" Target="https://disk.yandex.ru/d/dHezDXRJ9dJ-Jg" TargetMode="External"/><Relationship Id="rId159" Type="http://schemas.openxmlformats.org/officeDocument/2006/relationships/hyperlink" Target="https://disk.yandex.ru/i/Q7pFmLVZVJ1YIQ" TargetMode="External"/><Relationship Id="rId170" Type="http://schemas.openxmlformats.org/officeDocument/2006/relationships/hyperlink" Target="https://disk.yandex.ru/i/4L1VizeZZeHcHg" TargetMode="External"/><Relationship Id="rId191" Type="http://schemas.openxmlformats.org/officeDocument/2006/relationships/hyperlink" Target="https://disk.yandex.ru/d/dDvd6z3NJyX0tg" TargetMode="External"/><Relationship Id="rId107" Type="http://schemas.openxmlformats.org/officeDocument/2006/relationships/hyperlink" Target="https://disk.yandex.ru/d/5f22aRLO1tOBUg" TargetMode="External"/><Relationship Id="rId11" Type="http://schemas.openxmlformats.org/officeDocument/2006/relationships/hyperlink" Target="https://kleona.com/spa/bioaktivnaya-seriya-oblepiha/tonik-oblepiha1/" TargetMode="External"/><Relationship Id="rId32" Type="http://schemas.openxmlformats.org/officeDocument/2006/relationships/hyperlink" Target="https://kleona.com/spa/seriya-anti-age/krem-dlya-ruk-anti-age1/" TargetMode="External"/><Relationship Id="rId53" Type="http://schemas.openxmlformats.org/officeDocument/2006/relationships/hyperlink" Target="https://disk.yandex.ru/i/3bU98kLb2wnCFg" TargetMode="External"/><Relationship Id="rId74" Type="http://schemas.openxmlformats.org/officeDocument/2006/relationships/hyperlink" Target="https://disk.yandex.ru/d/sDrK95TvKwABvw" TargetMode="External"/><Relationship Id="rId128" Type="http://schemas.openxmlformats.org/officeDocument/2006/relationships/hyperlink" Target="https://disk.yandex.ru/d/mgLitxE1wey17g" TargetMode="External"/><Relationship Id="rId149" Type="http://schemas.openxmlformats.org/officeDocument/2006/relationships/hyperlink" Target="https://disk.yandex.ru/i/Diu-7oSAUuaWjA" TargetMode="External"/><Relationship Id="rId5" Type="http://schemas.openxmlformats.org/officeDocument/2006/relationships/hyperlink" Target="https://kleona.com/spa/_3/myagkij-gel-dlya-umyvaniya-seriya-roza1/" TargetMode="External"/><Relationship Id="rId95" Type="http://schemas.openxmlformats.org/officeDocument/2006/relationships/hyperlink" Target="https://disk.yandex.ru/d/SyZinNJfsoiQHw" TargetMode="External"/><Relationship Id="rId160" Type="http://schemas.openxmlformats.org/officeDocument/2006/relationships/hyperlink" Target="https://disk.yandex.ru/i/Q1JD88PN3RlPhQ" TargetMode="External"/><Relationship Id="rId181" Type="http://schemas.openxmlformats.org/officeDocument/2006/relationships/hyperlink" Target="https://disk.yandex.ru/i/zkpulNHxCe0nfQ" TargetMode="External"/><Relationship Id="rId22" Type="http://schemas.openxmlformats.org/officeDocument/2006/relationships/hyperlink" Target="https://disk.yandex.ru/d/U1svZMq_8hmc7Q" TargetMode="External"/><Relationship Id="rId43" Type="http://schemas.openxmlformats.org/officeDocument/2006/relationships/hyperlink" Target="http://kleona.tilda.ws/skrabi_gommaj_maska" TargetMode="External"/><Relationship Id="rId64" Type="http://schemas.openxmlformats.org/officeDocument/2006/relationships/hyperlink" Target="https://disk.yandex.ru/d/RNyeeuO9GPV7vQ" TargetMode="External"/><Relationship Id="rId118" Type="http://schemas.openxmlformats.org/officeDocument/2006/relationships/hyperlink" Target="https://disk.yandex.ru/i/bhSks2ToLO_x3w" TargetMode="External"/><Relationship Id="rId139" Type="http://schemas.openxmlformats.org/officeDocument/2006/relationships/hyperlink" Target="https://disk.yandex.ru/d/vkUAiCbqWmDzyA" TargetMode="External"/><Relationship Id="rId85" Type="http://schemas.openxmlformats.org/officeDocument/2006/relationships/hyperlink" Target="https://disk.yandex.ru/d/SyZinNJfsoiQHw" TargetMode="External"/><Relationship Id="rId150" Type="http://schemas.openxmlformats.org/officeDocument/2006/relationships/hyperlink" Target="https://disk.yandex.ru/i/PxgVY9ohBMlCxw" TargetMode="External"/><Relationship Id="rId171" Type="http://schemas.openxmlformats.org/officeDocument/2006/relationships/hyperlink" Target="https://disk.yandex.ru/i/4L1VizeZZeHcHg" TargetMode="External"/><Relationship Id="rId192" Type="http://schemas.openxmlformats.org/officeDocument/2006/relationships/hyperlink" Target="https://disk.yandex.ru/d/jMH-TzedN7fEoQ" TargetMode="External"/><Relationship Id="rId12" Type="http://schemas.openxmlformats.org/officeDocument/2006/relationships/hyperlink" Target="https://kleona.com/lico/dlya-gub/bal-zam-dlya-gub-oblepiha-pitanie-vosstanovlenie/" TargetMode="External"/><Relationship Id="rId33" Type="http://schemas.openxmlformats.org/officeDocument/2006/relationships/hyperlink" Target="https://kleona.com/spa/seriya-anti-age/syvorotka-filler-s-matriksilom-3-4/" TargetMode="External"/><Relationship Id="rId108" Type="http://schemas.openxmlformats.org/officeDocument/2006/relationships/hyperlink" Target="https://disk.yandex.ru/d/5f22aRLO1tOBUg" TargetMode="External"/><Relationship Id="rId129" Type="http://schemas.openxmlformats.org/officeDocument/2006/relationships/hyperlink" Target="https://disk.yandex.ru/d/XV3eyvP5hoNmzw" TargetMode="External"/><Relationship Id="rId54" Type="http://schemas.openxmlformats.org/officeDocument/2006/relationships/hyperlink" Target="https://disk.yandex.ru/i/X_MCnpiYH8UqNw" TargetMode="External"/><Relationship Id="rId75" Type="http://schemas.openxmlformats.org/officeDocument/2006/relationships/hyperlink" Target="https://disk.yandex.ru/d/NcItOKomVlTAgQ" TargetMode="External"/><Relationship Id="rId96" Type="http://schemas.openxmlformats.org/officeDocument/2006/relationships/hyperlink" Target="https://disk.yandex.ru/d/SyZinNJfsoiQHw" TargetMode="External"/><Relationship Id="rId140" Type="http://schemas.openxmlformats.org/officeDocument/2006/relationships/hyperlink" Target="https://disk.yandex.ru/d/RNyeeuO9GPV7vQ" TargetMode="External"/><Relationship Id="rId161" Type="http://schemas.openxmlformats.org/officeDocument/2006/relationships/hyperlink" Target="https://disk.yandex.ru/i/kNPG1EuMQKLQ-w" TargetMode="External"/><Relationship Id="rId182" Type="http://schemas.openxmlformats.org/officeDocument/2006/relationships/hyperlink" Target="https://disk.yandex.ru/d/SyZinNJfsoiQHw" TargetMode="External"/><Relationship Id="rId6" Type="http://schemas.openxmlformats.org/officeDocument/2006/relationships/hyperlink" Target="https://kleona.com/spa/_3/tonik-roza1/" TargetMode="External"/><Relationship Id="rId23" Type="http://schemas.openxmlformats.org/officeDocument/2006/relationships/hyperlink" Target="https://disk.yandex.ru/d/Y2huF_6n7Vr2CQ" TargetMode="External"/><Relationship Id="rId119" Type="http://schemas.openxmlformats.org/officeDocument/2006/relationships/hyperlink" Target="https://disk.yandex.ru/d/903JdbxDmn8gZQ" TargetMode="External"/><Relationship Id="rId44" Type="http://schemas.openxmlformats.org/officeDocument/2006/relationships/hyperlink" Target="http://kleona.tilda.ws/skrabi_gommaj_maska" TargetMode="External"/><Relationship Id="rId65" Type="http://schemas.openxmlformats.org/officeDocument/2006/relationships/hyperlink" Target="https://disk.yandex.ru/d/MAB8k1Yca0dTqA" TargetMode="External"/><Relationship Id="rId86" Type="http://schemas.openxmlformats.org/officeDocument/2006/relationships/hyperlink" Target="https://disk.yandex.ru/d/SyZinNJfsoiQHw" TargetMode="External"/><Relationship Id="rId130" Type="http://schemas.openxmlformats.org/officeDocument/2006/relationships/hyperlink" Target="https://disk.yandex.ru/d/XV3eyvP5hoNmzw" TargetMode="External"/><Relationship Id="rId151" Type="http://schemas.openxmlformats.org/officeDocument/2006/relationships/hyperlink" Target="https://disk.yandex.ru/d/GnsG4VuEpQ1Zsg" TargetMode="External"/><Relationship Id="rId172" Type="http://schemas.openxmlformats.org/officeDocument/2006/relationships/hyperlink" Target="https://disk.yandex.ru/i/4L1VizeZZeHcHg" TargetMode="External"/><Relationship Id="rId193" Type="http://schemas.openxmlformats.org/officeDocument/2006/relationships/hyperlink" Target="https://disk.yandex.ru/i/hbmAIXV9DN1i5g" TargetMode="External"/><Relationship Id="rId13" Type="http://schemas.openxmlformats.org/officeDocument/2006/relationships/hyperlink" Target="https://kleona.com/spa/_4/penka-dlya-umyvaniya-belyj-ris2/" TargetMode="External"/><Relationship Id="rId109" Type="http://schemas.openxmlformats.org/officeDocument/2006/relationships/hyperlink" Target="https://disk.yandex.ru/d/ibVygyU3oGeuqQ" TargetMode="External"/><Relationship Id="rId34" Type="http://schemas.openxmlformats.org/officeDocument/2006/relationships/hyperlink" Target="https://kleona.com/lico/bustery/buster-anti-age-vosstanovlenie/" TargetMode="External"/><Relationship Id="rId55" Type="http://schemas.openxmlformats.org/officeDocument/2006/relationships/hyperlink" Target="https://disk.yandex.ru/i/teQj90w15f9T1w" TargetMode="External"/><Relationship Id="rId76" Type="http://schemas.openxmlformats.org/officeDocument/2006/relationships/hyperlink" Target="https://disk.yandex.ru/d/NcItOKomVlTAgQ" TargetMode="External"/><Relationship Id="rId97" Type="http://schemas.openxmlformats.org/officeDocument/2006/relationships/hyperlink" Target="https://disk.yandex.ru/d/SyZinNJfsoiQHw" TargetMode="External"/><Relationship Id="rId120" Type="http://schemas.openxmlformats.org/officeDocument/2006/relationships/hyperlink" Target="https://disk.yandex.ru/d/B9kE83J42A-oKw" TargetMode="External"/><Relationship Id="rId141" Type="http://schemas.openxmlformats.org/officeDocument/2006/relationships/hyperlink" Target="https://disk.yandex.ru/d/oZAp976pQ0XIDw" TargetMode="External"/><Relationship Id="rId7" Type="http://schemas.openxmlformats.org/officeDocument/2006/relationships/hyperlink" Target="https://kleona.com/spa/_3/penka-dlya-umyvaniya-roza1/" TargetMode="External"/><Relationship Id="rId162" Type="http://schemas.openxmlformats.org/officeDocument/2006/relationships/hyperlink" Target="https://disk.yandex.ru/i/AkcGsNERERCQeQ" TargetMode="External"/><Relationship Id="rId183" Type="http://schemas.openxmlformats.org/officeDocument/2006/relationships/hyperlink" Target="https://disk.yandex.ru/d/SyZinNJfsoiQHw" TargetMode="External"/><Relationship Id="rId2" Type="http://schemas.openxmlformats.org/officeDocument/2006/relationships/hyperlink" Target="https://disk.yandex.ru/d/95ULCBq3cTtNsQ" TargetMode="External"/><Relationship Id="rId29" Type="http://schemas.openxmlformats.org/officeDocument/2006/relationships/hyperlink" Target="https://yadi.sk/i/pmOh2oOzgBwCSg" TargetMode="External"/><Relationship Id="rId24" Type="http://schemas.openxmlformats.org/officeDocument/2006/relationships/hyperlink" Target="https://disk.yandex.ru/d/JWd7T-kICazy7w" TargetMode="External"/><Relationship Id="rId40" Type="http://schemas.openxmlformats.org/officeDocument/2006/relationships/hyperlink" Target="http://kleona.tilda.ws/geldlyaumivania_roza" TargetMode="External"/><Relationship Id="rId45" Type="http://schemas.openxmlformats.org/officeDocument/2006/relationships/hyperlink" Target="http://kleona.tilda.ws/boosters" TargetMode="External"/><Relationship Id="rId66" Type="http://schemas.openxmlformats.org/officeDocument/2006/relationships/hyperlink" Target="https://disk.yandex.ru/d/6EIrWSZcBiGYBg" TargetMode="External"/><Relationship Id="rId87" Type="http://schemas.openxmlformats.org/officeDocument/2006/relationships/hyperlink" Target="https://disk.yandex.ru/d/SyZinNJfsoiQHw" TargetMode="External"/><Relationship Id="rId110" Type="http://schemas.openxmlformats.org/officeDocument/2006/relationships/hyperlink" Target="https://disk.yandex.ru/d/ibVygyU3oGeuqQ" TargetMode="External"/><Relationship Id="rId115" Type="http://schemas.openxmlformats.org/officeDocument/2006/relationships/hyperlink" Target="https://disk.yandex.ru/i/MYlmOAaoVuUBlA" TargetMode="External"/><Relationship Id="rId131" Type="http://schemas.openxmlformats.org/officeDocument/2006/relationships/hyperlink" Target="https://disk.yandex.ru/d/XV3eyvP5hoNmzw" TargetMode="External"/><Relationship Id="rId136" Type="http://schemas.openxmlformats.org/officeDocument/2006/relationships/hyperlink" Target="https://disk.yandex.ru/d/jAKW0RhqQxrkvg" TargetMode="External"/><Relationship Id="rId157" Type="http://schemas.openxmlformats.org/officeDocument/2006/relationships/hyperlink" Target="https://disk.yandex.ru/i/xIbsMxWMAgamGQ" TargetMode="External"/><Relationship Id="rId178" Type="http://schemas.openxmlformats.org/officeDocument/2006/relationships/hyperlink" Target="https://disk.yandex.ru/d/9DX9wRDauusjww" TargetMode="External"/><Relationship Id="rId61" Type="http://schemas.openxmlformats.org/officeDocument/2006/relationships/hyperlink" Target="https://disk.yandex.ru/d/YvRCpjl26dK3zw" TargetMode="External"/><Relationship Id="rId82" Type="http://schemas.openxmlformats.org/officeDocument/2006/relationships/hyperlink" Target="https://disk.yandex.ru/d/NWO_itL6Z3v0zA" TargetMode="External"/><Relationship Id="rId152" Type="http://schemas.openxmlformats.org/officeDocument/2006/relationships/hyperlink" Target="https://disk.yandex.ru/i/AVzYuD8XsgEBkA" TargetMode="External"/><Relationship Id="rId173" Type="http://schemas.openxmlformats.org/officeDocument/2006/relationships/hyperlink" Target="https://disk.yandex.ru/d/Px_OnjTPPuyRhg" TargetMode="External"/><Relationship Id="rId194" Type="http://schemas.openxmlformats.org/officeDocument/2006/relationships/hyperlink" Target="https://disk.yandex.ru/i/p738V9_IDmXVZw" TargetMode="External"/><Relationship Id="rId199" Type="http://schemas.openxmlformats.org/officeDocument/2006/relationships/printerSettings" Target="../printerSettings/printerSettings1.bin"/><Relationship Id="rId19" Type="http://schemas.openxmlformats.org/officeDocument/2006/relationships/hyperlink" Target="https://disk.yandex.ru/d/1FnvD3-nNg6GDw" TargetMode="External"/><Relationship Id="rId14" Type="http://schemas.openxmlformats.org/officeDocument/2006/relationships/hyperlink" Target="https://kleona.com/lico/dlya-umyvaniya-i-udaleniya-makiyazha/penka-dlya-umyvaniya-belyj-ris-s-massazhnoj-shetochkoj/" TargetMode="External"/><Relationship Id="rId30" Type="http://schemas.openxmlformats.org/officeDocument/2006/relationships/hyperlink" Target="https://yadi.sk/i/pmOh2oOzgBwCSg" TargetMode="External"/><Relationship Id="rId35" Type="http://schemas.openxmlformats.org/officeDocument/2006/relationships/hyperlink" Target="https://kleona.com/lico/bustery/buster-antistress-uhod/" TargetMode="External"/><Relationship Id="rId56" Type="http://schemas.openxmlformats.org/officeDocument/2006/relationships/hyperlink" Target="https://disk.yandex.ru/i/YGjIEdHHk5R11w" TargetMode="External"/><Relationship Id="rId77" Type="http://schemas.openxmlformats.org/officeDocument/2006/relationships/hyperlink" Target="https://disk.yandex.ru/d/NcItOKomVlTAgQ" TargetMode="External"/><Relationship Id="rId100" Type="http://schemas.openxmlformats.org/officeDocument/2006/relationships/hyperlink" Target="https://disk.yandex.ru/d/4yR8R0uYh-CW5w" TargetMode="External"/><Relationship Id="rId105" Type="http://schemas.openxmlformats.org/officeDocument/2006/relationships/hyperlink" Target="https://kleona.com/dlya-dusha-i-bani/myla-zhidkie/family-mylo-dlya-ruk/" TargetMode="External"/><Relationship Id="rId126" Type="http://schemas.openxmlformats.org/officeDocument/2006/relationships/hyperlink" Target="https://disk.yandex.ru/i/3pdiTbJgMsaDtg" TargetMode="External"/><Relationship Id="rId147" Type="http://schemas.openxmlformats.org/officeDocument/2006/relationships/hyperlink" Target="https://disk.yandex.ru/d/reVasEPCMfd3Ig" TargetMode="External"/><Relationship Id="rId168" Type="http://schemas.openxmlformats.org/officeDocument/2006/relationships/hyperlink" Target="https://disk.yandex.ru/d/SyZinNJfsoiQHw" TargetMode="External"/><Relationship Id="rId8" Type="http://schemas.openxmlformats.org/officeDocument/2006/relationships/hyperlink" Target="https://kleona.com/lico/dlya-umyvaniya-i-udaleniya-makiyazha/penka-dlya-umyvaniya-roza-s-massazhnoj-shetochkoj/" TargetMode="External"/><Relationship Id="rId51" Type="http://schemas.openxmlformats.org/officeDocument/2006/relationships/hyperlink" Target="https://disk.yandex.ru/i/Yp9KgNDEOofS2A" TargetMode="External"/><Relationship Id="rId72" Type="http://schemas.openxmlformats.org/officeDocument/2006/relationships/hyperlink" Target="https://disk.yandex.ru/d/sDrK95TvKwABvw" TargetMode="External"/><Relationship Id="rId93" Type="http://schemas.openxmlformats.org/officeDocument/2006/relationships/hyperlink" Target="https://disk.yandex.ru/d/SyZinNJfsoiQHw" TargetMode="External"/><Relationship Id="rId98" Type="http://schemas.openxmlformats.org/officeDocument/2006/relationships/hyperlink" Target="https://disk.yandex.ru/d/SyZinNJfsoiQHw" TargetMode="External"/><Relationship Id="rId121" Type="http://schemas.openxmlformats.org/officeDocument/2006/relationships/hyperlink" Target="https://disk.yandex.ru/d/FT5xuKFyy-OlCw" TargetMode="External"/><Relationship Id="rId142" Type="http://schemas.openxmlformats.org/officeDocument/2006/relationships/hyperlink" Target="https://disk.yandex.ru/i/Tv7fXi3h1eZFzA" TargetMode="External"/><Relationship Id="rId163" Type="http://schemas.openxmlformats.org/officeDocument/2006/relationships/hyperlink" Target="https://disk.yandex.ru/i/zkpulNHxCe0nfQ" TargetMode="External"/><Relationship Id="rId184" Type="http://schemas.openxmlformats.org/officeDocument/2006/relationships/hyperlink" Target="https://disk.yandex.ru/d/SyZinNJfsoiQHw" TargetMode="External"/><Relationship Id="rId189" Type="http://schemas.openxmlformats.org/officeDocument/2006/relationships/hyperlink" Target="https://disk.yandex.ru/i/szKUavKYFvl_KA" TargetMode="External"/><Relationship Id="rId3" Type="http://schemas.openxmlformats.org/officeDocument/2006/relationships/hyperlink" Target="https://kleona.com/spa/_3/myagkij-gel-dlya-umyvaniya-seriya-roza1/" TargetMode="External"/><Relationship Id="rId25" Type="http://schemas.openxmlformats.org/officeDocument/2006/relationships/hyperlink" Target="https://disk.yandex.ru/d/kTqoVGV-dp3t4w" TargetMode="External"/><Relationship Id="rId46" Type="http://schemas.openxmlformats.org/officeDocument/2006/relationships/hyperlink" Target="https://kleona.com/lico/dlya-vek-i-zony-vokrug-glaz/mul-tifunkcional-nyj_krem_dlya_kozhi_vokrug_glaz/" TargetMode="External"/><Relationship Id="rId67" Type="http://schemas.openxmlformats.org/officeDocument/2006/relationships/hyperlink" Target="https://disk.yandex.ru/d/UAj2xSc1Jxj-DQ" TargetMode="External"/><Relationship Id="rId116" Type="http://schemas.openxmlformats.org/officeDocument/2006/relationships/hyperlink" Target="https://disk.yandex.ru/i/_hVoILchcX31dg" TargetMode="External"/><Relationship Id="rId137" Type="http://schemas.openxmlformats.org/officeDocument/2006/relationships/hyperlink" Target="https://disk.yandex.ru/d/uDkfji26e3rFfA" TargetMode="External"/><Relationship Id="rId158" Type="http://schemas.openxmlformats.org/officeDocument/2006/relationships/hyperlink" Target="https://disk.yandex.ru/i/vsQRg4gJ60uyJA" TargetMode="External"/><Relationship Id="rId20" Type="http://schemas.openxmlformats.org/officeDocument/2006/relationships/hyperlink" Target="https://disk.yandex.ru/d/SyS4IM0rPY_qPQ" TargetMode="External"/><Relationship Id="rId41" Type="http://schemas.openxmlformats.org/officeDocument/2006/relationships/hyperlink" Target="http://kleona.tilda.ws/geldlyaumivania_roza" TargetMode="External"/><Relationship Id="rId62" Type="http://schemas.openxmlformats.org/officeDocument/2006/relationships/hyperlink" Target="https://disk.yandex.ru/d/0AmgRiTrU-cABg" TargetMode="External"/><Relationship Id="rId83" Type="http://schemas.openxmlformats.org/officeDocument/2006/relationships/hyperlink" Target="https://disk.yandex.ru/d/NWO_itL6Z3v0zA" TargetMode="External"/><Relationship Id="rId88" Type="http://schemas.openxmlformats.org/officeDocument/2006/relationships/hyperlink" Target="https://disk.yandex.ru/d/SyZinNJfsoiQHw" TargetMode="External"/><Relationship Id="rId111" Type="http://schemas.openxmlformats.org/officeDocument/2006/relationships/hyperlink" Target="https://disk.yandex.ru/d/jQA5Nk3BrMoLLA" TargetMode="External"/><Relationship Id="rId132" Type="http://schemas.openxmlformats.org/officeDocument/2006/relationships/hyperlink" Target="https://disk.yandex.ru/i/LpexN306Rj0hbg" TargetMode="External"/><Relationship Id="rId153" Type="http://schemas.openxmlformats.org/officeDocument/2006/relationships/hyperlink" Target="https://disk.yandex.ru/i/1HjeXAGjpSUgCw" TargetMode="External"/><Relationship Id="rId174" Type="http://schemas.openxmlformats.org/officeDocument/2006/relationships/hyperlink" Target="https://disk.yandex.ru/d/Px_OnjTPPuyRhg" TargetMode="External"/><Relationship Id="rId179" Type="http://schemas.openxmlformats.org/officeDocument/2006/relationships/hyperlink" Target="https://disk.yandex.ru/d/9DX9wRDauusjww" TargetMode="External"/><Relationship Id="rId195" Type="http://schemas.openxmlformats.org/officeDocument/2006/relationships/hyperlink" Target="https://disk.yandex.ru/i/YwuiKeQwjeU5yA" TargetMode="External"/><Relationship Id="rId190" Type="http://schemas.openxmlformats.org/officeDocument/2006/relationships/hyperlink" Target="https://disk.yandex.ru/d/dDvd6z3NJyX0tg" TargetMode="External"/><Relationship Id="rId15" Type="http://schemas.openxmlformats.org/officeDocument/2006/relationships/hyperlink" Target="https://disk.yandex.ru/d/NCgF6xMdCObVQQ" TargetMode="External"/><Relationship Id="rId36" Type="http://schemas.openxmlformats.org/officeDocument/2006/relationships/hyperlink" Target="https://kleona.com/lico/kremy_dlya_litsa/krem-dlya-lica-s-fitoceramidami-den-noch/" TargetMode="External"/><Relationship Id="rId57" Type="http://schemas.openxmlformats.org/officeDocument/2006/relationships/hyperlink" Target="https://disk.yandex.ru/d/wTt4WEovlOYGyg" TargetMode="External"/><Relationship Id="rId106" Type="http://schemas.openxmlformats.org/officeDocument/2006/relationships/hyperlink" Target="https://kleona.com/telo/detskij-krem/detskij-krem-family/" TargetMode="External"/><Relationship Id="rId127" Type="http://schemas.openxmlformats.org/officeDocument/2006/relationships/hyperlink" Target="https://disk.yandex.ru/d/KwgZd7aAqlaOnQ" TargetMode="External"/><Relationship Id="rId10" Type="http://schemas.openxmlformats.org/officeDocument/2006/relationships/hyperlink" Target="https://kleona.com/spa/seriya-dlya-suhoj-kozhi-ovsyanka/tonik-ovsyanka1/" TargetMode="External"/><Relationship Id="rId31" Type="http://schemas.openxmlformats.org/officeDocument/2006/relationships/hyperlink" Target="https://kleona.com/spa/seriya-anti-age/krem-dlya-tela-anti-age1/" TargetMode="External"/><Relationship Id="rId52" Type="http://schemas.openxmlformats.org/officeDocument/2006/relationships/hyperlink" Target="https://disk.yandex.ru/i/ltY6Ztq-g1djTg" TargetMode="External"/><Relationship Id="rId73" Type="http://schemas.openxmlformats.org/officeDocument/2006/relationships/hyperlink" Target="https://disk.yandex.ru/d/sDrK95TvKwABvw" TargetMode="External"/><Relationship Id="rId78" Type="http://schemas.openxmlformats.org/officeDocument/2006/relationships/hyperlink" Target="https://disk.yandex.ru/d/1LZ4TjMUnwKwQg" TargetMode="External"/><Relationship Id="rId94" Type="http://schemas.openxmlformats.org/officeDocument/2006/relationships/hyperlink" Target="https://disk.yandex.ru/d/SyZinNJfsoiQHw" TargetMode="External"/><Relationship Id="rId99" Type="http://schemas.openxmlformats.org/officeDocument/2006/relationships/hyperlink" Target="https://disk.yandex.ru/d/g9FwGBLGTyitnA" TargetMode="External"/><Relationship Id="rId101" Type="http://schemas.openxmlformats.org/officeDocument/2006/relationships/hyperlink" Target="https://disk.yandex.ru/d/ye-6_5qe5uP7bA" TargetMode="External"/><Relationship Id="rId122" Type="http://schemas.openxmlformats.org/officeDocument/2006/relationships/hyperlink" Target="https://disk.yandex.ru/d/9DX9wRDauusjww" TargetMode="External"/><Relationship Id="rId143" Type="http://schemas.openxmlformats.org/officeDocument/2006/relationships/hyperlink" Target="https://disk.yandex.ru/i/Lvf5XNcfk-2eOA" TargetMode="External"/><Relationship Id="rId148" Type="http://schemas.openxmlformats.org/officeDocument/2006/relationships/hyperlink" Target="https://disk.yandex.ru/d/JgF7LRYNoecD2Q" TargetMode="External"/><Relationship Id="rId164" Type="http://schemas.openxmlformats.org/officeDocument/2006/relationships/hyperlink" Target="https://disk.yandex.ru/d/SyZinNJfsoiQHw" TargetMode="External"/><Relationship Id="rId169" Type="http://schemas.openxmlformats.org/officeDocument/2006/relationships/hyperlink" Target="https://disk.yandex.ru/i/4L1VizeZZeHcHg" TargetMode="External"/><Relationship Id="rId185" Type="http://schemas.openxmlformats.org/officeDocument/2006/relationships/hyperlink" Target="https://disk.yandex.ru/d/SyZinNJfsoiQHw" TargetMode="External"/><Relationship Id="rId4" Type="http://schemas.openxmlformats.org/officeDocument/2006/relationships/hyperlink" Target="https://www.kleona.com/dlya-doma/myla-dlya-hozyajstvennyh-nuzhd/mylo-dlya-fruktov-i-ovowej/" TargetMode="External"/><Relationship Id="rId9" Type="http://schemas.openxmlformats.org/officeDocument/2006/relationships/hyperlink" Target="https://kleona.com/dlya-dusha-i-bani/myla-tualetnye/mylo-roza/" TargetMode="External"/><Relationship Id="rId180" Type="http://schemas.openxmlformats.org/officeDocument/2006/relationships/hyperlink" Target="https://disk.yandex.ru/i/6G9Ly2hDn_MU0A" TargetMode="External"/><Relationship Id="rId26" Type="http://schemas.openxmlformats.org/officeDocument/2006/relationships/hyperlink" Target="https://disk.yandex.ru/d/xzpC2TBNzfhrVg" TargetMode="External"/><Relationship Id="rId47" Type="http://schemas.openxmlformats.org/officeDocument/2006/relationships/hyperlink" Target="https://disk.yandex.ru/d/PuLVILbl_JKU_A" TargetMode="External"/><Relationship Id="rId68" Type="http://schemas.openxmlformats.org/officeDocument/2006/relationships/hyperlink" Target="https://disk.yandex.ru/d/9j5tTsT_bI7pLg" TargetMode="External"/><Relationship Id="rId89" Type="http://schemas.openxmlformats.org/officeDocument/2006/relationships/hyperlink" Target="https://disk.yandex.ru/d/SyZinNJfsoiQHw" TargetMode="External"/><Relationship Id="rId112" Type="http://schemas.openxmlformats.org/officeDocument/2006/relationships/hyperlink" Target="https://disk.yandex.ru/d/3aUKVRNKdr6Ahg" TargetMode="External"/><Relationship Id="rId133" Type="http://schemas.openxmlformats.org/officeDocument/2006/relationships/hyperlink" Target="https://disk.yandex.ru/i/GJCV4oinwMxhdQ" TargetMode="External"/><Relationship Id="rId154" Type="http://schemas.openxmlformats.org/officeDocument/2006/relationships/hyperlink" Target="https://disk.yandex.ru/i/Zt68PKrvMQzGpA" TargetMode="External"/><Relationship Id="rId175" Type="http://schemas.openxmlformats.org/officeDocument/2006/relationships/hyperlink" Target="https://disk.yandex.ru/d/Px_OnjTPPuyRhg" TargetMode="External"/><Relationship Id="rId196" Type="http://schemas.openxmlformats.org/officeDocument/2006/relationships/hyperlink" Target="https://disk.yandex.ru/i/cBNgW1OlxAYCrQ" TargetMode="External"/><Relationship Id="rId200" Type="http://schemas.openxmlformats.org/officeDocument/2006/relationships/drawing" Target="../drawings/drawing1.xml"/><Relationship Id="rId16" Type="http://schemas.openxmlformats.org/officeDocument/2006/relationships/hyperlink" Target="https://disk.yandex.ru/d/cBV6IKoNlQHoQw" TargetMode="External"/><Relationship Id="rId37" Type="http://schemas.openxmlformats.org/officeDocument/2006/relationships/hyperlink" Target="https://www.kleona.com/dlya-dusha-i-bani/geli-dlya-dusha1/gel-shampun-romovaya-baba/" TargetMode="External"/><Relationship Id="rId58" Type="http://schemas.openxmlformats.org/officeDocument/2006/relationships/hyperlink" Target="https://disk.yandex.ru/d/wTt4WEovlOYGyg" TargetMode="External"/><Relationship Id="rId79" Type="http://schemas.openxmlformats.org/officeDocument/2006/relationships/hyperlink" Target="https://disk.yandex.ru/d/1LZ4TjMUnwKwQg" TargetMode="External"/><Relationship Id="rId102" Type="http://schemas.openxmlformats.org/officeDocument/2006/relationships/hyperlink" Target="https://disk.yandex.ru/d/SDJNUiA2q3cg3Q" TargetMode="External"/><Relationship Id="rId123" Type="http://schemas.openxmlformats.org/officeDocument/2006/relationships/hyperlink" Target="https://disk.yandex.ru/d/c1wXeHRjrzmpnQ" TargetMode="External"/><Relationship Id="rId144" Type="http://schemas.openxmlformats.org/officeDocument/2006/relationships/hyperlink" Target="https://disk.yandex.ru/i/DUpjqtNKBN7TnQ" TargetMode="External"/><Relationship Id="rId90" Type="http://schemas.openxmlformats.org/officeDocument/2006/relationships/hyperlink" Target="https://disk.yandex.ru/d/SyZinNJfsoiQHw" TargetMode="External"/><Relationship Id="rId165" Type="http://schemas.openxmlformats.org/officeDocument/2006/relationships/hyperlink" Target="https://disk.yandex.ru/d/SyZinNJfsoiQHw" TargetMode="External"/><Relationship Id="rId186" Type="http://schemas.openxmlformats.org/officeDocument/2006/relationships/hyperlink" Target="https://disk.yandex.ru/i/szKUavKYFvl_KA" TargetMode="External"/><Relationship Id="rId27" Type="http://schemas.openxmlformats.org/officeDocument/2006/relationships/hyperlink" Target="https://disk.yandex.ru/d/TNXwQDANjGQqgQ" TargetMode="External"/><Relationship Id="rId48" Type="http://schemas.openxmlformats.org/officeDocument/2006/relationships/hyperlink" Target="https://disk.yandex.ru/i/ypb_VsaPPBTmJA" TargetMode="External"/><Relationship Id="rId69" Type="http://schemas.openxmlformats.org/officeDocument/2006/relationships/hyperlink" Target="https://disk.yandex.ru/d/sDrK95TvKwABvw" TargetMode="External"/><Relationship Id="rId113" Type="http://schemas.openxmlformats.org/officeDocument/2006/relationships/hyperlink" Target="https://disk.yandex.ru/i/4L1VizeZZeHcHg" TargetMode="External"/><Relationship Id="rId134" Type="http://schemas.openxmlformats.org/officeDocument/2006/relationships/hyperlink" Target="https://disk.yandex.ru/i/GJCV4oinwMxhdQ" TargetMode="External"/><Relationship Id="rId80" Type="http://schemas.openxmlformats.org/officeDocument/2006/relationships/hyperlink" Target="https://disk.yandex.ru/d/1LZ4TjMUnwKwQg" TargetMode="External"/><Relationship Id="rId155" Type="http://schemas.openxmlformats.org/officeDocument/2006/relationships/hyperlink" Target="https://disk.yandex.ru/i/d6CJILmxhG580Q" TargetMode="External"/><Relationship Id="rId176" Type="http://schemas.openxmlformats.org/officeDocument/2006/relationships/hyperlink" Target="https://disk.yandex.ru/d/Px_OnjTPPuyRhg" TargetMode="External"/><Relationship Id="rId197" Type="http://schemas.openxmlformats.org/officeDocument/2006/relationships/hyperlink" Target="https://disk.yandex.ru/i/E2IX9WcCsvnYXw" TargetMode="External"/><Relationship Id="rId201" Type="http://schemas.openxmlformats.org/officeDocument/2006/relationships/vmlDrawing" Target="../drawings/vmlDrawing1.vml"/><Relationship Id="rId17" Type="http://schemas.openxmlformats.org/officeDocument/2006/relationships/hyperlink" Target="https://disk.yandex.ru/d/XbEccp4OAYNm3w" TargetMode="External"/><Relationship Id="rId38" Type="http://schemas.openxmlformats.org/officeDocument/2006/relationships/hyperlink" Target="https://www.kleona.com/dlya-dusha-i-bani/geli-dlya-dusha1/gel-shampun-grejpfrutovyj/" TargetMode="External"/><Relationship Id="rId59" Type="http://schemas.openxmlformats.org/officeDocument/2006/relationships/hyperlink" Target="https://disk.yandex.ru/d/My3gcg0C_7msTQ" TargetMode="External"/><Relationship Id="rId103" Type="http://schemas.openxmlformats.org/officeDocument/2006/relationships/hyperlink" Target="https://kleona.com/telo/kremy_dlya_ruk/zawitnyj-krem-dlya-ruk/" TargetMode="External"/><Relationship Id="rId124" Type="http://schemas.openxmlformats.org/officeDocument/2006/relationships/hyperlink" Target="https://disk.yandex.ru/d/8oHx696SVk5Oyg" TargetMode="External"/><Relationship Id="rId70" Type="http://schemas.openxmlformats.org/officeDocument/2006/relationships/hyperlink" Target="https://disk.yandex.ru/d/sDrK95TvKwABvw" TargetMode="External"/><Relationship Id="rId91" Type="http://schemas.openxmlformats.org/officeDocument/2006/relationships/hyperlink" Target="https://disk.yandex.ru/d/SyZinNJfsoiQHw" TargetMode="External"/><Relationship Id="rId145" Type="http://schemas.openxmlformats.org/officeDocument/2006/relationships/hyperlink" Target="https://disk.yandex.ru/d/reVasEPCMfd3Ig" TargetMode="External"/><Relationship Id="rId166" Type="http://schemas.openxmlformats.org/officeDocument/2006/relationships/hyperlink" Target="https://disk.yandex.ru/d/SyZinNJfsoiQHw" TargetMode="External"/><Relationship Id="rId187" Type="http://schemas.openxmlformats.org/officeDocument/2006/relationships/hyperlink" Target="https://disk.yandex.ru/i/E-iRDu8kLfwyCw" TargetMode="External"/><Relationship Id="rId1" Type="http://schemas.openxmlformats.org/officeDocument/2006/relationships/hyperlink" Target="https://disk.yandex.ru/d/0Zy8kMfJymt3Kw" TargetMode="External"/><Relationship Id="rId28" Type="http://schemas.openxmlformats.org/officeDocument/2006/relationships/hyperlink" Target="https://disk.yandex.ru/d/4SrbwS0cenyaCw" TargetMode="External"/><Relationship Id="rId49" Type="http://schemas.openxmlformats.org/officeDocument/2006/relationships/hyperlink" Target="https://disk.yandex.ru/i/XDQ-q5SNor2EMA" TargetMode="External"/><Relationship Id="rId114" Type="http://schemas.openxmlformats.org/officeDocument/2006/relationships/hyperlink" Target="https://disk.yandex.ru/i/5Yb8D6GDtzRNcQ" TargetMode="External"/><Relationship Id="rId60" Type="http://schemas.openxmlformats.org/officeDocument/2006/relationships/hyperlink" Target="https://disk.yandex.ru/d/NL1Jns23inynMw" TargetMode="External"/><Relationship Id="rId81" Type="http://schemas.openxmlformats.org/officeDocument/2006/relationships/hyperlink" Target="https://disk.yandex.ru/d/1LZ4TjMUnwKwQg" TargetMode="External"/><Relationship Id="rId135" Type="http://schemas.openxmlformats.org/officeDocument/2006/relationships/hyperlink" Target="https://disk.yandex.ru/d/jAKW0RhqQxrkvg" TargetMode="External"/><Relationship Id="rId156" Type="http://schemas.openxmlformats.org/officeDocument/2006/relationships/hyperlink" Target="https://disk.yandex.ru/i/6TJPhphA7DGfgQ" TargetMode="External"/><Relationship Id="rId177" Type="http://schemas.openxmlformats.org/officeDocument/2006/relationships/hyperlink" Target="https://disk.yandex.ru/d/Px_OnjTPPuyRhg" TargetMode="External"/><Relationship Id="rId198" Type="http://schemas.openxmlformats.org/officeDocument/2006/relationships/hyperlink" Target="https://disk.yandex.ru/i/5dHpXBuHhDElhQ" TargetMode="External"/><Relationship Id="rId202" Type="http://schemas.openxmlformats.org/officeDocument/2006/relationships/comments" Target="../comments1.xml"/><Relationship Id="rId18" Type="http://schemas.openxmlformats.org/officeDocument/2006/relationships/hyperlink" Target="https://disk.yandex.ru/d/pdElRX8QYMdkBA" TargetMode="External"/><Relationship Id="rId39" Type="http://schemas.openxmlformats.org/officeDocument/2006/relationships/hyperlink" Target="https://yadi.sk/i/pmOh2oOzgBwCSg" TargetMode="External"/><Relationship Id="rId50" Type="http://schemas.openxmlformats.org/officeDocument/2006/relationships/hyperlink" Target="https://disk.yandex.ru/i/SI4obhqc-CiY2w" TargetMode="External"/><Relationship Id="rId104" Type="http://schemas.openxmlformats.org/officeDocument/2006/relationships/hyperlink" Target="https://kleona.com/dlya-dusha-i-bani/myla-zhidkie/mylo-dorozhnoe/" TargetMode="External"/><Relationship Id="rId125" Type="http://schemas.openxmlformats.org/officeDocument/2006/relationships/hyperlink" Target="https://disk.yandex.ru/i/tVAjSBV-4FuRDg" TargetMode="External"/><Relationship Id="rId146" Type="http://schemas.openxmlformats.org/officeDocument/2006/relationships/hyperlink" Target="https://www.kleona.com/telo/obertyvanie/goryachee-obertyvanie/" TargetMode="External"/><Relationship Id="rId167" Type="http://schemas.openxmlformats.org/officeDocument/2006/relationships/hyperlink" Target="https://disk.yandex.ru/d/SyZinNJfsoiQHw" TargetMode="External"/><Relationship Id="rId188" Type="http://schemas.openxmlformats.org/officeDocument/2006/relationships/hyperlink" Target="https://disk.yandex.ru/i/2tooRL1USJG7Pw" TargetMode="External"/><Relationship Id="rId71" Type="http://schemas.openxmlformats.org/officeDocument/2006/relationships/hyperlink" Target="https://disk.yandex.ru/d/sDrK95TvKwABvw" TargetMode="External"/><Relationship Id="rId92" Type="http://schemas.openxmlformats.org/officeDocument/2006/relationships/hyperlink" Target="https://disk.yandex.ru/d/SyZinNJfsoiQHw"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kleona.tilda.ws/vasilek_gidrolat" TargetMode="External"/><Relationship Id="rId13" Type="http://schemas.openxmlformats.org/officeDocument/2006/relationships/hyperlink" Target="https://yadi.sk/a/3r5-OvJeKLgwEQ" TargetMode="External"/><Relationship Id="rId18" Type="http://schemas.openxmlformats.org/officeDocument/2006/relationships/hyperlink" Target="https://disk.yandex.ru/d/e2dwSs6xge0AYQ" TargetMode="External"/><Relationship Id="rId3" Type="http://schemas.openxmlformats.org/officeDocument/2006/relationships/hyperlink" Target="https://disk.yandex.ru/d/L57dRXm1hC1VZg" TargetMode="External"/><Relationship Id="rId21" Type="http://schemas.openxmlformats.org/officeDocument/2006/relationships/hyperlink" Target="https://disk.yandex.ru/d/-nl1uNZKa3rhyg" TargetMode="External"/><Relationship Id="rId7" Type="http://schemas.openxmlformats.org/officeDocument/2006/relationships/hyperlink" Target="http://kleona.tilda.ws/showergel_shampoo" TargetMode="External"/><Relationship Id="rId12" Type="http://schemas.openxmlformats.org/officeDocument/2006/relationships/hyperlink" Target="https://vk.com/away.php?to=http%3A%2F%2Fkleona.tilda.ws%2Fpenki&amp;cc_key=" TargetMode="External"/><Relationship Id="rId17" Type="http://schemas.openxmlformats.org/officeDocument/2006/relationships/hyperlink" Target="https://disk.yandex.ru/d/2zkkb0el2uVu5Q" TargetMode="External"/><Relationship Id="rId25" Type="http://schemas.openxmlformats.org/officeDocument/2006/relationships/printerSettings" Target="../printerSettings/printerSettings2.bin"/><Relationship Id="rId2" Type="http://schemas.openxmlformats.org/officeDocument/2006/relationships/hyperlink" Target="https://disk.yandex.ru/d/IHHP1zvDeL3iIg" TargetMode="External"/><Relationship Id="rId16" Type="http://schemas.openxmlformats.org/officeDocument/2006/relationships/hyperlink" Target="https://disk.yandex.ru/d/OIX-0vmifMkMGA" TargetMode="External"/><Relationship Id="rId20" Type="http://schemas.openxmlformats.org/officeDocument/2006/relationships/hyperlink" Target="https://disk.yandex.ru/i/k3ssKlwfQsL-5Q" TargetMode="External"/><Relationship Id="rId1" Type="http://schemas.openxmlformats.org/officeDocument/2006/relationships/hyperlink" Target="https://yadi.sk/d/WcYLm6gP8C3nFQ?w=1" TargetMode="External"/><Relationship Id="rId6" Type="http://schemas.openxmlformats.org/officeDocument/2006/relationships/hyperlink" Target="http://kleona.tilda.ws/geldlyaumivania_roza" TargetMode="External"/><Relationship Id="rId11" Type="http://schemas.openxmlformats.org/officeDocument/2006/relationships/hyperlink" Target="http://kleona.tilda.ws/soap" TargetMode="External"/><Relationship Id="rId24" Type="http://schemas.openxmlformats.org/officeDocument/2006/relationships/hyperlink" Target="https://disk.yandex.ru/d/acqFL3cXLyasJQ" TargetMode="External"/><Relationship Id="rId5" Type="http://schemas.openxmlformats.org/officeDocument/2006/relationships/hyperlink" Target="http://kleona.tilda.ws/skrabi_gommaj_maska" TargetMode="External"/><Relationship Id="rId15" Type="http://schemas.openxmlformats.org/officeDocument/2006/relationships/hyperlink" Target="https://disk.yandex.ru/d/kInAm-1bVhsfnw" TargetMode="External"/><Relationship Id="rId23" Type="http://schemas.openxmlformats.org/officeDocument/2006/relationships/hyperlink" Target="https://disk.yandex.ru/d/pmGPJzzZSAjVpA" TargetMode="External"/><Relationship Id="rId10" Type="http://schemas.openxmlformats.org/officeDocument/2006/relationships/hyperlink" Target="http://kleona.tilda.ws/aleppskoe" TargetMode="External"/><Relationship Id="rId19" Type="http://schemas.openxmlformats.org/officeDocument/2006/relationships/hyperlink" Target="https://disk.yandex.ru/d/OIX-0vmifMkMGA" TargetMode="External"/><Relationship Id="rId4" Type="http://schemas.openxmlformats.org/officeDocument/2006/relationships/hyperlink" Target="https://disk.yandex.ru/d/hAOlJxGcNxWboA" TargetMode="External"/><Relationship Id="rId9" Type="http://schemas.openxmlformats.org/officeDocument/2006/relationships/hyperlink" Target="http://kleona.tilda.ws/pomazki" TargetMode="External"/><Relationship Id="rId14" Type="http://schemas.openxmlformats.org/officeDocument/2006/relationships/hyperlink" Target="https://yadi.sk/a/OCpeRRNJB_TdRQ" TargetMode="External"/><Relationship Id="rId22" Type="http://schemas.openxmlformats.org/officeDocument/2006/relationships/hyperlink" Target="https://disk.yandex.ru/d/5S4ROxJwpX5h_w" TargetMode="Externa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tabColor indexed="17"/>
  </sheetPr>
  <dimension ref="A1:BU605"/>
  <sheetViews>
    <sheetView tabSelected="1" topLeftCell="A122" zoomScale="85" zoomScaleNormal="85" workbookViewId="0">
      <selection activeCell="A124" sqref="A124"/>
    </sheetView>
  </sheetViews>
  <sheetFormatPr defaultColWidth="9.140625" defaultRowHeight="15.75"/>
  <cols>
    <col min="1" max="1" width="10.5703125" style="298" customWidth="1"/>
    <col min="2" max="2" width="5.85546875" style="6" customWidth="1"/>
    <col min="3" max="3" width="74.42578125" style="252" customWidth="1"/>
    <col min="4" max="4" width="4.140625" style="820" hidden="1" customWidth="1"/>
    <col min="5" max="5" width="7.5703125" style="7" hidden="1" customWidth="1"/>
    <col min="6" max="6" width="8.42578125" style="247" customWidth="1"/>
    <col min="7" max="7" width="7.42578125" style="1" customWidth="1"/>
    <col min="8" max="8" width="6.28515625" style="1" customWidth="1"/>
    <col min="9" max="9" width="6" style="237" customWidth="1"/>
    <col min="10" max="10" width="7.42578125" style="1" customWidth="1"/>
    <col min="11" max="11" width="7.7109375" style="1" customWidth="1"/>
    <col min="12" max="12" width="7.5703125" style="268" customWidth="1"/>
    <col min="13" max="13" width="7.7109375" style="1" customWidth="1"/>
    <col min="14" max="14" width="7.28515625" style="268" customWidth="1"/>
    <col min="15" max="15" width="7.42578125" style="1" customWidth="1"/>
    <col min="16" max="16" width="7.28515625" style="268" customWidth="1"/>
    <col min="17" max="17" width="7.42578125" style="1" customWidth="1"/>
    <col min="18" max="18" width="7.5703125" style="268" customWidth="1"/>
    <col min="19" max="19" width="6.7109375" style="1" customWidth="1"/>
    <col min="20" max="20" width="7.42578125" style="8" customWidth="1"/>
    <col min="21" max="21" width="7.7109375" style="2" customWidth="1"/>
    <col min="22" max="22" width="8.7109375" style="2" customWidth="1"/>
    <col min="23" max="23" width="9" style="300" customWidth="1"/>
    <col min="24" max="24" width="7.5703125" style="285" customWidth="1"/>
    <col min="25" max="26" width="9" style="42" customWidth="1"/>
    <col min="27" max="27" width="22.140625" style="542" customWidth="1"/>
    <col min="28" max="29" width="10.28515625" style="542" customWidth="1"/>
    <col min="30" max="30" width="15" style="710" customWidth="1"/>
    <col min="31" max="31" width="5.28515625" style="710" customWidth="1"/>
    <col min="32" max="33" width="10.28515625" style="698" customWidth="1"/>
    <col min="34" max="34" width="16.140625" style="545" customWidth="1"/>
    <col min="35" max="35" width="26.7109375" style="42" customWidth="1"/>
    <col min="36" max="36" width="26.7109375" style="3" customWidth="1"/>
    <col min="37" max="37" width="16.7109375" style="464" customWidth="1"/>
    <col min="38" max="38" width="5" style="551" customWidth="1"/>
    <col min="39" max="41" width="29.85546875" style="494" customWidth="1"/>
    <col min="42" max="42" width="7.7109375" style="495" customWidth="1"/>
    <col min="43" max="43" width="10.140625" style="496" customWidth="1"/>
    <col min="44" max="44" width="8" style="497" customWidth="1"/>
    <col min="45" max="45" width="7.85546875" style="498" customWidth="1"/>
    <col min="46" max="46" width="6.42578125" style="4" customWidth="1"/>
    <col min="47" max="49" width="9" style="3" hidden="1" customWidth="1"/>
    <col min="50" max="50" width="9" style="439" hidden="1" customWidth="1"/>
    <col min="51" max="51" width="12.28515625" style="438" hidden="1" customWidth="1"/>
    <col min="52" max="54" width="6.28515625" style="3" hidden="1" customWidth="1"/>
    <col min="55" max="55" width="11.28515625" style="4" hidden="1" customWidth="1"/>
    <col min="56" max="56" width="9" style="3" hidden="1" customWidth="1"/>
    <col min="57" max="57" width="8.5703125" style="4" hidden="1" customWidth="1"/>
    <col min="58" max="58" width="9" style="499" hidden="1" customWidth="1"/>
    <col min="59" max="66" width="9" style="4" hidden="1" customWidth="1"/>
    <col min="67" max="91" width="9" style="4" customWidth="1"/>
    <col min="92" max="16384" width="9.140625" style="4"/>
  </cols>
  <sheetData>
    <row r="1" spans="1:63" ht="8.25" hidden="1" customHeight="1"/>
    <row r="2" spans="1:63" ht="25.5" customHeight="1">
      <c r="B2" s="1045" t="s">
        <v>0</v>
      </c>
      <c r="C2" s="1045"/>
      <c r="D2" s="821"/>
      <c r="E2" s="1083"/>
      <c r="F2" s="1083"/>
      <c r="G2" s="1083"/>
      <c r="H2" s="1083"/>
      <c r="I2" s="1083"/>
      <c r="J2" s="1083"/>
      <c r="K2" s="1083"/>
      <c r="L2" s="589"/>
      <c r="M2" s="590"/>
      <c r="N2" s="589"/>
      <c r="O2" s="590"/>
      <c r="P2" s="589"/>
      <c r="Q2" s="590"/>
      <c r="R2" s="589"/>
      <c r="S2" s="590"/>
      <c r="T2" s="591"/>
      <c r="U2" s="592"/>
      <c r="V2" s="592"/>
      <c r="W2" s="593"/>
      <c r="Y2" s="11"/>
      <c r="Z2" s="3"/>
      <c r="AM2" s="3"/>
      <c r="AN2" s="3"/>
      <c r="AO2" s="3"/>
      <c r="AP2" s="476"/>
      <c r="AQ2" s="475"/>
      <c r="AR2" s="437"/>
      <c r="AS2" s="438"/>
    </row>
    <row r="3" spans="1:63" ht="25.5" customHeight="1">
      <c r="A3" s="1044"/>
      <c r="B3" s="1045" t="s">
        <v>1</v>
      </c>
      <c r="C3" s="1045"/>
      <c r="D3" s="821"/>
      <c r="E3" s="1083"/>
      <c r="F3" s="1083"/>
      <c r="G3" s="1083"/>
      <c r="H3" s="1083"/>
      <c r="I3" s="1083"/>
      <c r="J3" s="1083"/>
      <c r="K3" s="1083"/>
      <c r="L3" s="589"/>
      <c r="M3" s="590"/>
      <c r="N3" s="589"/>
      <c r="O3" s="590"/>
      <c r="P3" s="589"/>
      <c r="Q3" s="590"/>
      <c r="R3" s="589"/>
      <c r="S3" s="590"/>
      <c r="T3" s="591"/>
      <c r="U3" s="592"/>
      <c r="V3" s="592"/>
      <c r="W3" s="593"/>
      <c r="Y3" s="11"/>
      <c r="Z3" s="3"/>
      <c r="AM3" s="3"/>
      <c r="AN3" s="3"/>
      <c r="AO3" s="3"/>
      <c r="AP3" s="476"/>
      <c r="AQ3" s="475"/>
      <c r="AR3" s="437"/>
      <c r="AS3" s="438"/>
    </row>
    <row r="4" spans="1:63" ht="25.5" customHeight="1">
      <c r="A4" s="1044"/>
      <c r="B4" s="1045" t="s">
        <v>2</v>
      </c>
      <c r="C4" s="1045"/>
      <c r="D4" s="821"/>
      <c r="E4" s="1083"/>
      <c r="F4" s="1083"/>
      <c r="G4" s="1083"/>
      <c r="H4" s="1083"/>
      <c r="I4" s="1083"/>
      <c r="J4" s="1083"/>
      <c r="K4" s="1083"/>
      <c r="L4" s="589"/>
      <c r="M4" s="590"/>
      <c r="N4" s="589"/>
      <c r="O4" s="590"/>
      <c r="P4" s="589"/>
      <c r="Q4" s="590"/>
      <c r="R4" s="589"/>
      <c r="S4" s="590"/>
      <c r="T4" s="591"/>
      <c r="U4" s="592"/>
      <c r="V4" s="592"/>
      <c r="W4" s="593"/>
      <c r="Y4" s="11"/>
      <c r="Z4" s="3"/>
      <c r="AM4" s="3"/>
      <c r="AN4" s="3"/>
      <c r="AO4" s="3"/>
      <c r="AP4" s="476"/>
      <c r="AQ4" s="475"/>
      <c r="AR4" s="437"/>
      <c r="AS4" s="438"/>
    </row>
    <row r="5" spans="1:63" ht="25.5" customHeight="1">
      <c r="A5" s="1044"/>
      <c r="B5" s="1045" t="s">
        <v>3</v>
      </c>
      <c r="C5" s="1045"/>
      <c r="D5" s="821"/>
      <c r="E5" s="1083"/>
      <c r="F5" s="1083"/>
      <c r="G5" s="1083"/>
      <c r="H5" s="1083"/>
      <c r="I5" s="1083"/>
      <c r="J5" s="1083"/>
      <c r="K5" s="1083"/>
      <c r="L5" s="594"/>
      <c r="M5" s="595"/>
      <c r="N5" s="594"/>
      <c r="O5" s="595"/>
      <c r="P5" s="594"/>
      <c r="Q5" s="595"/>
      <c r="R5" s="594"/>
      <c r="S5" s="595"/>
      <c r="T5" s="595"/>
      <c r="U5" s="595"/>
      <c r="V5" s="285"/>
      <c r="W5" s="596"/>
      <c r="Y5" s="11"/>
      <c r="Z5" s="3"/>
      <c r="AM5" s="3"/>
      <c r="AN5" s="3"/>
      <c r="AO5" s="3"/>
      <c r="AP5" s="476"/>
      <c r="AQ5" s="475"/>
      <c r="AR5" s="437"/>
      <c r="AS5" s="438"/>
    </row>
    <row r="6" spans="1:63" ht="26.25" customHeight="1">
      <c r="A6" s="1044"/>
      <c r="B6" s="1045" t="s">
        <v>4</v>
      </c>
      <c r="C6" s="1045"/>
      <c r="D6" s="821"/>
      <c r="E6" s="1083"/>
      <c r="F6" s="1083"/>
      <c r="G6" s="1083"/>
      <c r="H6" s="1083"/>
      <c r="I6" s="1083"/>
      <c r="J6" s="1083"/>
      <c r="K6" s="1083"/>
      <c r="L6" s="594"/>
      <c r="M6" s="595"/>
      <c r="N6" s="594"/>
      <c r="O6" s="595"/>
      <c r="P6" s="594"/>
      <c r="Q6" s="595"/>
      <c r="R6" s="594"/>
      <c r="S6" s="590"/>
      <c r="T6" s="590"/>
      <c r="U6" s="590"/>
      <c r="V6" s="597"/>
      <c r="W6" s="598"/>
      <c r="Y6" s="11"/>
      <c r="Z6" s="3"/>
      <c r="AM6" s="3"/>
      <c r="AN6" s="3"/>
      <c r="AO6" s="3"/>
      <c r="AP6" s="476"/>
      <c r="AQ6" s="475"/>
      <c r="AR6" s="437"/>
      <c r="AS6" s="438"/>
    </row>
    <row r="7" spans="1:63" s="436" customFormat="1" ht="32.25" customHeight="1">
      <c r="A7" s="1044"/>
      <c r="B7" s="1049" t="s">
        <v>5</v>
      </c>
      <c r="C7" s="1050"/>
      <c r="D7" s="1050"/>
      <c r="E7" s="1050"/>
      <c r="F7" s="1050"/>
      <c r="G7" s="1050"/>
      <c r="H7" s="1050"/>
      <c r="I7" s="1050"/>
      <c r="J7" s="1050"/>
      <c r="K7" s="1051"/>
      <c r="L7" s="467"/>
      <c r="M7" s="467"/>
      <c r="N7" s="467"/>
      <c r="O7" s="467"/>
      <c r="P7" s="467"/>
      <c r="Q7" s="467"/>
      <c r="R7" s="467"/>
      <c r="S7" s="467"/>
      <c r="T7" s="467"/>
      <c r="U7" s="467"/>
      <c r="V7" s="467"/>
      <c r="W7" s="599"/>
      <c r="X7" s="285"/>
      <c r="Y7" s="11"/>
      <c r="Z7" s="501"/>
      <c r="AA7" s="542"/>
      <c r="AB7" s="542"/>
      <c r="AC7" s="542"/>
      <c r="AD7" s="710"/>
      <c r="AE7" s="710"/>
      <c r="AF7" s="698"/>
      <c r="AG7" s="698"/>
      <c r="AH7" s="545"/>
      <c r="AI7" s="42"/>
      <c r="AJ7" s="501"/>
      <c r="AK7" s="464"/>
      <c r="AL7" s="551"/>
      <c r="AM7" s="501"/>
      <c r="AN7" s="501"/>
      <c r="AO7" s="501"/>
      <c r="AP7" s="476"/>
      <c r="AQ7" s="475"/>
      <c r="AR7" s="437"/>
      <c r="AS7" s="438"/>
      <c r="AT7" s="4"/>
      <c r="AU7" s="501"/>
      <c r="AV7" s="501"/>
      <c r="AW7" s="501"/>
      <c r="AX7" s="439"/>
      <c r="AY7" s="438"/>
      <c r="AZ7" s="501"/>
      <c r="BA7" s="501"/>
      <c r="BB7" s="501"/>
      <c r="BD7" s="501"/>
      <c r="BF7" s="447"/>
    </row>
    <row r="8" spans="1:63" ht="26.25" customHeight="1">
      <c r="A8" s="1044"/>
      <c r="B8" s="1046" t="s">
        <v>6</v>
      </c>
      <c r="C8" s="1046"/>
      <c r="D8" s="821"/>
      <c r="E8" s="432"/>
      <c r="F8" s="1052"/>
      <c r="G8" s="1053"/>
      <c r="H8" s="1053"/>
      <c r="I8" s="1053"/>
      <c r="J8" s="1053"/>
      <c r="K8" s="1054"/>
      <c r="L8" s="589"/>
      <c r="M8" s="590"/>
      <c r="N8" s="589"/>
      <c r="O8" s="590"/>
      <c r="P8" s="589"/>
      <c r="Q8" s="590"/>
      <c r="R8" s="589"/>
      <c r="S8" s="595"/>
      <c r="T8" s="595"/>
      <c r="U8" s="595"/>
      <c r="V8" s="285"/>
      <c r="W8" s="596"/>
      <c r="Y8" s="11"/>
      <c r="Z8" s="3"/>
      <c r="AM8" s="3"/>
      <c r="AN8" s="3"/>
      <c r="AO8" s="3"/>
      <c r="AP8" s="476"/>
      <c r="AQ8" s="475"/>
      <c r="AR8" s="437"/>
      <c r="AS8" s="438"/>
    </row>
    <row r="9" spans="1:63" ht="24" customHeight="1">
      <c r="A9" s="1044"/>
      <c r="B9" s="1046" t="s">
        <v>7</v>
      </c>
      <c r="C9" s="1046"/>
      <c r="D9" s="821"/>
      <c r="E9" s="101"/>
      <c r="F9" s="1055"/>
      <c r="G9" s="1055"/>
      <c r="H9" s="1055"/>
      <c r="I9" s="1055"/>
      <c r="J9" s="1055"/>
      <c r="K9" s="1055"/>
      <c r="L9" s="589"/>
      <c r="M9" s="590"/>
      <c r="N9" s="589"/>
      <c r="O9" s="590"/>
      <c r="P9" s="589"/>
      <c r="Q9" s="590"/>
      <c r="R9" s="589"/>
      <c r="S9" s="600"/>
      <c r="T9" s="600"/>
      <c r="U9" s="600"/>
      <c r="V9" s="601"/>
      <c r="W9" s="598"/>
      <c r="Y9" s="13"/>
      <c r="Z9" s="3"/>
      <c r="AK9" s="465"/>
      <c r="AL9" s="552"/>
      <c r="AM9" s="1008"/>
      <c r="AN9" s="3"/>
      <c r="AO9" s="3"/>
      <c r="AP9" s="476"/>
      <c r="AQ9" s="475"/>
      <c r="AR9" s="437"/>
      <c r="AS9" s="438"/>
    </row>
    <row r="10" spans="1:63" ht="26.25" customHeight="1">
      <c r="A10" s="1044"/>
      <c r="B10" s="1046" t="s">
        <v>8</v>
      </c>
      <c r="C10" s="1046"/>
      <c r="D10" s="821"/>
      <c r="E10" s="101"/>
      <c r="F10" s="1055"/>
      <c r="G10" s="1055"/>
      <c r="H10" s="1055"/>
      <c r="I10" s="1055"/>
      <c r="J10" s="1055"/>
      <c r="K10" s="1055"/>
      <c r="L10" s="589"/>
      <c r="M10" s="595"/>
      <c r="N10" s="594"/>
      <c r="O10" s="595"/>
      <c r="P10" s="594"/>
      <c r="Q10" s="595"/>
      <c r="R10" s="594"/>
      <c r="S10" s="590"/>
      <c r="T10" s="590"/>
      <c r="U10" s="590"/>
      <c r="V10" s="597"/>
      <c r="W10" s="598"/>
      <c r="Y10" s="11"/>
      <c r="Z10" s="3"/>
      <c r="AM10" s="3"/>
      <c r="AN10" s="3"/>
      <c r="AO10" s="3"/>
      <c r="AP10" s="476"/>
      <c r="AQ10" s="475"/>
      <c r="AR10" s="437"/>
      <c r="AS10" s="438"/>
    </row>
    <row r="11" spans="1:63" ht="24" customHeight="1">
      <c r="A11" s="1044"/>
      <c r="B11" s="1046" t="s">
        <v>9</v>
      </c>
      <c r="C11" s="1046"/>
      <c r="D11" s="821"/>
      <c r="E11" s="101"/>
      <c r="F11" s="1055"/>
      <c r="G11" s="1055"/>
      <c r="H11" s="1055"/>
      <c r="I11" s="1055"/>
      <c r="J11" s="1055"/>
      <c r="K11" s="1055"/>
      <c r="L11" s="589"/>
      <c r="M11" s="595"/>
      <c r="N11" s="594"/>
      <c r="O11" s="595"/>
      <c r="P11" s="594"/>
      <c r="Q11" s="595"/>
      <c r="R11" s="594"/>
      <c r="S11" s="590"/>
      <c r="T11" s="590"/>
      <c r="U11" s="590"/>
      <c r="V11" s="597"/>
      <c r="W11" s="596"/>
      <c r="Y11" s="11"/>
      <c r="Z11" s="3"/>
      <c r="AM11" s="3"/>
      <c r="AN11" s="3"/>
      <c r="AO11" s="3"/>
      <c r="AP11" s="476"/>
      <c r="AQ11" s="475"/>
      <c r="AR11" s="437"/>
      <c r="AS11" s="438"/>
    </row>
    <row r="12" spans="1:63" ht="24" customHeight="1">
      <c r="A12" s="1044"/>
      <c r="B12" s="1047" t="s">
        <v>10</v>
      </c>
      <c r="C12" s="1047"/>
      <c r="D12" s="822"/>
      <c r="E12" s="110"/>
      <c r="F12" s="1055"/>
      <c r="G12" s="1055"/>
      <c r="H12" s="1055"/>
      <c r="I12" s="1055"/>
      <c r="J12" s="1055"/>
      <c r="K12" s="1055"/>
      <c r="L12" s="589"/>
      <c r="M12" s="602"/>
      <c r="N12" s="603"/>
      <c r="O12" s="602"/>
      <c r="P12" s="603"/>
      <c r="Q12" s="602"/>
      <c r="R12" s="604"/>
      <c r="S12" s="595"/>
      <c r="T12" s="595"/>
      <c r="U12" s="595"/>
      <c r="V12" s="285"/>
      <c r="W12" s="596"/>
      <c r="Y12" s="11"/>
      <c r="Z12" s="3"/>
      <c r="AM12" s="3"/>
      <c r="AN12" s="3"/>
      <c r="AO12" s="3"/>
      <c r="AP12" s="476"/>
      <c r="AQ12" s="475"/>
      <c r="AR12" s="437"/>
      <c r="AS12" s="438"/>
    </row>
    <row r="13" spans="1:63" ht="24" hidden="1" customHeight="1">
      <c r="A13" s="1044"/>
      <c r="B13" s="1048"/>
      <c r="C13" s="1048"/>
      <c r="D13" s="823"/>
      <c r="E13" s="101"/>
      <c r="F13" s="1055"/>
      <c r="G13" s="1055"/>
      <c r="H13" s="1055"/>
      <c r="I13" s="1055"/>
      <c r="J13" s="1055"/>
      <c r="K13" s="1055"/>
      <c r="L13" s="589"/>
      <c r="M13" s="602"/>
      <c r="N13" s="603"/>
      <c r="O13" s="602"/>
      <c r="P13" s="603"/>
      <c r="Q13" s="602"/>
      <c r="R13" s="604"/>
      <c r="S13" s="590"/>
      <c r="T13" s="605"/>
      <c r="U13" s="605"/>
      <c r="V13" s="606"/>
      <c r="W13" s="593"/>
      <c r="Y13" s="11"/>
      <c r="Z13" s="3"/>
      <c r="AM13" s="3"/>
      <c r="AN13" s="3"/>
      <c r="AO13" s="3"/>
      <c r="AP13" s="476"/>
      <c r="AQ13" s="475"/>
      <c r="AR13" s="437"/>
      <c r="AS13" s="438"/>
      <c r="BF13" s="445"/>
    </row>
    <row r="14" spans="1:63" ht="27" customHeight="1">
      <c r="A14" s="1044"/>
      <c r="B14" s="1048" t="s">
        <v>11</v>
      </c>
      <c r="C14" s="1048"/>
      <c r="D14" s="823"/>
      <c r="E14" s="433"/>
      <c r="F14" s="1056"/>
      <c r="G14" s="1056"/>
      <c r="H14" s="1056"/>
      <c r="I14" s="1056"/>
      <c r="J14" s="1056"/>
      <c r="K14" s="1056"/>
      <c r="L14" s="589"/>
      <c r="M14" s="602"/>
      <c r="N14" s="603"/>
      <c r="O14" s="602"/>
      <c r="P14" s="603"/>
      <c r="Q14" s="602"/>
      <c r="R14" s="607"/>
      <c r="S14" s="590"/>
      <c r="T14" s="605"/>
      <c r="U14" s="605"/>
      <c r="V14" s="606"/>
      <c r="W14" s="593"/>
      <c r="Y14" s="11"/>
      <c r="Z14" s="3"/>
      <c r="AM14" s="3"/>
      <c r="AN14" s="3"/>
      <c r="AO14" s="3"/>
      <c r="AP14" s="476"/>
      <c r="AQ14" s="475"/>
      <c r="AR14" s="437"/>
      <c r="AS14" s="438"/>
    </row>
    <row r="15" spans="1:63" ht="32.25" customHeight="1" thickBot="1">
      <c r="A15" s="1044"/>
      <c r="B15" s="1047" t="s">
        <v>12</v>
      </c>
      <c r="C15" s="1047"/>
      <c r="D15" s="822"/>
      <c r="E15" s="434"/>
      <c r="F15" s="1055"/>
      <c r="G15" s="1055"/>
      <c r="H15" s="1055"/>
      <c r="I15" s="1055"/>
      <c r="J15" s="1055"/>
      <c r="K15" s="1055"/>
      <c r="L15" s="589"/>
      <c r="M15" s="590"/>
      <c r="N15" s="589"/>
      <c r="O15" s="590"/>
      <c r="P15" s="589"/>
      <c r="Q15" s="590"/>
      <c r="R15" s="589"/>
      <c r="S15" s="590"/>
      <c r="T15" s="591"/>
      <c r="U15" s="592"/>
      <c r="V15" s="592"/>
      <c r="Y15" s="11"/>
      <c r="Z15" s="3"/>
      <c r="AM15" s="3"/>
      <c r="AN15" s="3"/>
      <c r="AO15" s="3"/>
      <c r="AP15" s="476"/>
      <c r="AQ15" s="475"/>
      <c r="AR15" s="437"/>
      <c r="AS15" s="438"/>
    </row>
    <row r="16" spans="1:63" s="440" customFormat="1" ht="25.5" customHeight="1">
      <c r="A16" s="1057" t="s">
        <v>13</v>
      </c>
      <c r="B16" s="1058" t="s">
        <v>14</v>
      </c>
      <c r="C16" s="1059" t="s">
        <v>15</v>
      </c>
      <c r="D16" s="824"/>
      <c r="E16" s="110"/>
      <c r="F16" s="1085" t="s">
        <v>16</v>
      </c>
      <c r="G16" s="1063" t="s">
        <v>17</v>
      </c>
      <c r="H16" s="1063" t="s">
        <v>18</v>
      </c>
      <c r="I16" s="1063"/>
      <c r="J16" s="1063" t="s">
        <v>19</v>
      </c>
      <c r="K16" s="1063"/>
      <c r="L16" s="1063" t="s">
        <v>20</v>
      </c>
      <c r="M16" s="1063"/>
      <c r="N16" s="1063" t="s">
        <v>21</v>
      </c>
      <c r="O16" s="1063"/>
      <c r="P16" s="1063" t="s">
        <v>22</v>
      </c>
      <c r="Q16" s="1063"/>
      <c r="R16" s="1063" t="s">
        <v>23</v>
      </c>
      <c r="S16" s="1063"/>
      <c r="T16" s="1077" t="s">
        <v>24</v>
      </c>
      <c r="U16" s="1077"/>
      <c r="V16" s="302"/>
      <c r="W16" s="1084" t="s">
        <v>25</v>
      </c>
      <c r="X16" s="583"/>
      <c r="Y16" s="1066" t="s">
        <v>26</v>
      </c>
      <c r="Z16" s="1072" t="s">
        <v>27</v>
      </c>
      <c r="AA16" s="1060" t="s">
        <v>28</v>
      </c>
      <c r="AB16" s="1073" t="s">
        <v>29</v>
      </c>
      <c r="AC16" s="1073" t="s">
        <v>30</v>
      </c>
      <c r="AD16" s="1080" t="s">
        <v>31</v>
      </c>
      <c r="AE16" s="1080" t="s">
        <v>32</v>
      </c>
      <c r="AF16" s="1078" t="s">
        <v>33</v>
      </c>
      <c r="AG16" s="1078" t="s">
        <v>34</v>
      </c>
      <c r="AH16" s="560" t="s">
        <v>35</v>
      </c>
      <c r="AI16" s="561" t="s">
        <v>36</v>
      </c>
      <c r="AJ16" s="561" t="s">
        <v>37</v>
      </c>
      <c r="AK16" s="1064" t="s">
        <v>38</v>
      </c>
      <c r="AL16" s="553"/>
      <c r="AM16" s="1066" t="s">
        <v>39</v>
      </c>
      <c r="AN16" s="1072" t="s">
        <v>40</v>
      </c>
      <c r="AO16" s="1072" t="s">
        <v>41</v>
      </c>
      <c r="AP16" s="1068" t="s">
        <v>42</v>
      </c>
      <c r="AQ16" s="1072" t="s">
        <v>43</v>
      </c>
      <c r="AR16" s="1070"/>
      <c r="AS16" s="1064" t="s">
        <v>44</v>
      </c>
      <c r="AU16" s="1075" t="s">
        <v>45</v>
      </c>
      <c r="AV16" s="1075" t="s">
        <v>46</v>
      </c>
      <c r="AW16" s="502"/>
      <c r="AX16" s="503" t="s">
        <v>47</v>
      </c>
      <c r="AY16" s="504" t="s">
        <v>48</v>
      </c>
      <c r="AZ16" s="1062" t="s">
        <v>49</v>
      </c>
      <c r="BA16" s="1062" t="s">
        <v>50</v>
      </c>
      <c r="BB16" s="1062" t="s">
        <v>51</v>
      </c>
      <c r="BC16" s="1058" t="s">
        <v>52</v>
      </c>
      <c r="BD16" s="1082"/>
      <c r="BF16" s="443"/>
      <c r="BK16" s="505"/>
    </row>
    <row r="17" spans="1:58" s="42" customFormat="1" ht="24" customHeight="1">
      <c r="A17" s="1057"/>
      <c r="B17" s="1058"/>
      <c r="C17" s="1059"/>
      <c r="D17" s="824"/>
      <c r="E17" s="110"/>
      <c r="F17" s="1085"/>
      <c r="G17" s="1063"/>
      <c r="H17" s="1063"/>
      <c r="I17" s="1063"/>
      <c r="J17" s="303" t="s">
        <v>53</v>
      </c>
      <c r="K17" s="303" t="s">
        <v>54</v>
      </c>
      <c r="L17" s="304" t="s">
        <v>55</v>
      </c>
      <c r="M17" s="303" t="s">
        <v>54</v>
      </c>
      <c r="N17" s="304" t="s">
        <v>55</v>
      </c>
      <c r="O17" s="303" t="s">
        <v>54</v>
      </c>
      <c r="P17" s="304" t="s">
        <v>55</v>
      </c>
      <c r="Q17" s="303" t="s">
        <v>54</v>
      </c>
      <c r="R17" s="304" t="s">
        <v>55</v>
      </c>
      <c r="S17" s="303" t="s">
        <v>54</v>
      </c>
      <c r="T17" s="305" t="s">
        <v>56</v>
      </c>
      <c r="U17" s="302" t="s">
        <v>57</v>
      </c>
      <c r="V17" s="302" t="s">
        <v>58</v>
      </c>
      <c r="W17" s="1084"/>
      <c r="X17" s="584"/>
      <c r="Y17" s="1067"/>
      <c r="Z17" s="1058"/>
      <c r="AA17" s="1061"/>
      <c r="AB17" s="1074"/>
      <c r="AC17" s="1074"/>
      <c r="AD17" s="1081"/>
      <c r="AE17" s="1081"/>
      <c r="AF17" s="1079"/>
      <c r="AG17" s="1079"/>
      <c r="AH17" s="108" t="s">
        <v>59</v>
      </c>
      <c r="AI17" s="117"/>
      <c r="AJ17" s="108"/>
      <c r="AK17" s="1065"/>
      <c r="AL17" s="553"/>
      <c r="AM17" s="1067"/>
      <c r="AN17" s="1058"/>
      <c r="AO17" s="1058"/>
      <c r="AP17" s="1069"/>
      <c r="AQ17" s="1058"/>
      <c r="AR17" s="1071"/>
      <c r="AS17" s="1065"/>
      <c r="AU17" s="1075"/>
      <c r="AV17" s="1075"/>
      <c r="AW17" s="502"/>
      <c r="AX17" s="503" t="s">
        <v>60</v>
      </c>
      <c r="AY17" s="504" t="s">
        <v>61</v>
      </c>
      <c r="AZ17" s="1062"/>
      <c r="BA17" s="1062"/>
      <c r="BB17" s="1062"/>
      <c r="BC17" s="1058"/>
      <c r="BD17" s="1082"/>
      <c r="BF17" s="447"/>
    </row>
    <row r="18" spans="1:58" s="42" customFormat="1" ht="29.25" hidden="1" customHeight="1">
      <c r="A18" s="274"/>
      <c r="B18" s="274"/>
      <c r="C18" s="853" t="s">
        <v>62</v>
      </c>
      <c r="D18" s="491">
        <v>0</v>
      </c>
      <c r="E18" s="308"/>
      <c r="F18" s="309">
        <f>F19+F20+F21+F22+F23+F24+F25+F26+F27+F29+F30+F31+F32+F33+F34+F35+F36+F37+F38+F39+F40+F41+F42+F43+F44+F45+F46+F47+F48+F49+F50+F51+F28</f>
        <v>0</v>
      </c>
      <c r="G18" s="310"/>
      <c r="H18" s="311"/>
      <c r="I18" s="488"/>
      <c r="J18" s="489"/>
      <c r="K18" s="488">
        <f>K19+K20+K21+K22+K23+K24+K25+K26+K27+K29+K30+K31+K32+K33+K34+K35+K36+K37+K38+K39+K40+K41+K42+K43+K44+K45+K46+K47+K48+K49+K50+K51+K28</f>
        <v>0</v>
      </c>
      <c r="L18" s="489"/>
      <c r="M18" s="488">
        <f>M19+M20+M21+M22+M23+M24+M25+M26+M27+M29+M30+M31+M32+M33+M34+M35+M36+M37+M38+M39+M40+M41+M42+M43+M44+M45+M46+M47+M48+M49+M50+M51+M28</f>
        <v>0</v>
      </c>
      <c r="N18" s="489"/>
      <c r="O18" s="488">
        <f>O19+O20+O21+O22+O23+O24+O25+O26+O27+O29+O30+O31+O32+O33+O34+O35+O36+O37+O38+O39+O40+O41+O42+O43+O44+O45+O46+O47+O48+O49+O50+O51+O28</f>
        <v>0</v>
      </c>
      <c r="P18" s="489"/>
      <c r="Q18" s="488">
        <f>Q19+Q20+Q21+Q22+Q23+Q24+Q25+Q26+Q27+Q29+Q30+Q31+Q32+Q33+Q34+Q35+Q36+Q37+Q38+Q39+Q40+Q41+Q42+Q43+Q44+Q45+Q46+Q47+Q48+Q49+Q50+Q51+Q28</f>
        <v>0</v>
      </c>
      <c r="R18" s="313"/>
      <c r="S18" s="313">
        <f>S19+S20+S21+S22+S23+S24+S25+S26+S27+S29+S30+S31+S32+S33+S34+S35+S36+S37+S38+S39+S40+S41+S42+S43+S44+S45+S46+S47+S48+S49+S50+S51</f>
        <v>0</v>
      </c>
      <c r="T18" s="293"/>
      <c r="U18" s="293"/>
      <c r="V18" s="293"/>
      <c r="W18" s="293"/>
      <c r="X18" s="584"/>
      <c r="Y18" s="856"/>
      <c r="Z18" s="108"/>
      <c r="AA18" s="863"/>
      <c r="AB18" s="858"/>
      <c r="AC18" s="858"/>
      <c r="AD18" s="861"/>
      <c r="AE18" s="861"/>
      <c r="AF18" s="700"/>
      <c r="AG18" s="700"/>
      <c r="AH18" s="108"/>
      <c r="AI18" s="117"/>
      <c r="AJ18" s="108"/>
      <c r="AK18" s="860"/>
      <c r="AL18" s="553"/>
      <c r="AM18" s="856"/>
      <c r="AN18" s="108"/>
      <c r="AO18" s="108"/>
      <c r="AP18" s="864"/>
      <c r="AQ18" s="108"/>
      <c r="AR18" s="865"/>
      <c r="AS18" s="860"/>
      <c r="AU18" s="502"/>
      <c r="AV18" s="502"/>
      <c r="AW18" s="502"/>
      <c r="AX18" s="503"/>
      <c r="AY18" s="504"/>
      <c r="AZ18" s="857"/>
      <c r="BA18" s="857"/>
      <c r="BB18" s="857"/>
      <c r="BC18" s="108"/>
      <c r="BD18" s="534"/>
      <c r="BF18" s="447"/>
    </row>
    <row r="19" spans="1:58" s="42" customFormat="1" ht="24" hidden="1" customHeight="1">
      <c r="A19" s="119" t="s">
        <v>63</v>
      </c>
      <c r="B19" s="108">
        <v>4518</v>
      </c>
      <c r="C19" s="882" t="s">
        <v>64</v>
      </c>
      <c r="D19" s="824"/>
      <c r="E19" s="110"/>
      <c r="F19" s="248"/>
      <c r="G19" s="133"/>
      <c r="H19" s="133"/>
      <c r="I19" s="133"/>
      <c r="J19" s="111">
        <v>155</v>
      </c>
      <c r="K19" s="111">
        <f t="shared" ref="K19:K34" si="0">J19*F19</f>
        <v>0</v>
      </c>
      <c r="L19" s="104">
        <v>163</v>
      </c>
      <c r="M19" s="104">
        <f t="shared" ref="M19:M51" si="1">L19*F19</f>
        <v>0</v>
      </c>
      <c r="N19" s="104">
        <v>171</v>
      </c>
      <c r="O19" s="104">
        <f t="shared" ref="O19:O51" si="2">N19*F19</f>
        <v>0</v>
      </c>
      <c r="P19" s="104">
        <v>178</v>
      </c>
      <c r="Q19" s="111">
        <f t="shared" ref="Q19:Q51" si="3">P19*F19</f>
        <v>0</v>
      </c>
      <c r="R19" s="104">
        <v>194</v>
      </c>
      <c r="S19" s="111">
        <f t="shared" ref="S19:S51" si="4">R19*F19</f>
        <v>0</v>
      </c>
      <c r="T19" s="866"/>
      <c r="U19" s="867"/>
      <c r="V19" s="867"/>
      <c r="W19" s="883">
        <v>290</v>
      </c>
      <c r="X19" s="584"/>
      <c r="Y19" s="856">
        <v>18</v>
      </c>
      <c r="Z19" s="108">
        <v>6</v>
      </c>
      <c r="AA19" s="541" t="s">
        <v>65</v>
      </c>
      <c r="AB19" s="537">
        <v>45086</v>
      </c>
      <c r="AC19" s="537">
        <v>47642</v>
      </c>
      <c r="AD19" s="717" t="s">
        <v>66</v>
      </c>
      <c r="AE19" s="861" t="s">
        <v>67</v>
      </c>
      <c r="AF19" s="700"/>
      <c r="AG19" s="700"/>
      <c r="AH19" s="108"/>
      <c r="AI19" s="117"/>
      <c r="AJ19" s="108"/>
      <c r="AK19" s="860"/>
      <c r="AL19" s="553"/>
      <c r="AM19" s="856"/>
      <c r="AN19" s="108"/>
      <c r="AO19" s="108"/>
      <c r="AP19" s="864"/>
      <c r="AQ19" s="108"/>
      <c r="AR19" s="865"/>
      <c r="AS19" s="860"/>
      <c r="AU19" s="502"/>
      <c r="AV19" s="502"/>
      <c r="AW19" s="502"/>
      <c r="AX19" s="503"/>
      <c r="AY19" s="504"/>
      <c r="AZ19" s="857"/>
      <c r="BA19" s="857"/>
      <c r="BB19" s="857"/>
      <c r="BC19" s="108"/>
      <c r="BD19" s="534"/>
      <c r="BF19" s="447"/>
    </row>
    <row r="20" spans="1:58" s="42" customFormat="1" ht="24" hidden="1" customHeight="1">
      <c r="A20" s="119" t="s">
        <v>68</v>
      </c>
      <c r="B20" s="108">
        <v>4519</v>
      </c>
      <c r="C20" s="882" t="s">
        <v>69</v>
      </c>
      <c r="D20" s="824"/>
      <c r="E20" s="110"/>
      <c r="F20" s="248"/>
      <c r="G20" s="133"/>
      <c r="H20" s="133"/>
      <c r="I20" s="133"/>
      <c r="J20" s="111">
        <v>155</v>
      </c>
      <c r="K20" s="111">
        <f t="shared" si="0"/>
        <v>0</v>
      </c>
      <c r="L20" s="104">
        <v>163</v>
      </c>
      <c r="M20" s="104">
        <f t="shared" si="1"/>
        <v>0</v>
      </c>
      <c r="N20" s="104">
        <v>171</v>
      </c>
      <c r="O20" s="104">
        <f t="shared" si="2"/>
        <v>0</v>
      </c>
      <c r="P20" s="104">
        <v>178</v>
      </c>
      <c r="Q20" s="111">
        <f t="shared" si="3"/>
        <v>0</v>
      </c>
      <c r="R20" s="104">
        <v>194</v>
      </c>
      <c r="S20" s="111">
        <f t="shared" si="4"/>
        <v>0</v>
      </c>
      <c r="T20" s="866"/>
      <c r="U20" s="867"/>
      <c r="V20" s="867"/>
      <c r="W20" s="883">
        <v>290</v>
      </c>
      <c r="X20" s="584"/>
      <c r="Y20" s="856">
        <v>18</v>
      </c>
      <c r="Z20" s="108">
        <v>6</v>
      </c>
      <c r="AA20" s="541" t="s">
        <v>70</v>
      </c>
      <c r="AB20" s="537">
        <v>45240</v>
      </c>
      <c r="AC20" s="537">
        <v>47796</v>
      </c>
      <c r="AD20" s="717" t="s">
        <v>71</v>
      </c>
      <c r="AE20" s="861" t="s">
        <v>67</v>
      </c>
      <c r="AF20" s="700"/>
      <c r="AG20" s="700"/>
      <c r="AH20" s="108"/>
      <c r="AI20" s="117"/>
      <c r="AJ20" s="108"/>
      <c r="AK20" s="860"/>
      <c r="AL20" s="553"/>
      <c r="AM20" s="856" t="s">
        <v>72</v>
      </c>
      <c r="AN20" s="108" t="s">
        <v>73</v>
      </c>
      <c r="AO20" s="108" t="s">
        <v>74</v>
      </c>
      <c r="AP20" s="864"/>
      <c r="AQ20" s="108"/>
      <c r="AR20" s="865"/>
      <c r="AS20" s="860"/>
      <c r="AU20" s="502"/>
      <c r="AV20" s="502"/>
      <c r="AW20" s="502"/>
      <c r="AX20" s="503"/>
      <c r="AY20" s="504"/>
      <c r="AZ20" s="857"/>
      <c r="BA20" s="857"/>
      <c r="BB20" s="857"/>
      <c r="BC20" s="108"/>
      <c r="BD20" s="534"/>
      <c r="BF20" s="447"/>
    </row>
    <row r="21" spans="1:58" s="42" customFormat="1" ht="30" hidden="1" customHeight="1">
      <c r="A21" s="119" t="s">
        <v>75</v>
      </c>
      <c r="B21" s="108">
        <v>3677</v>
      </c>
      <c r="C21" s="882" t="s">
        <v>76</v>
      </c>
      <c r="D21" s="824"/>
      <c r="E21" s="110"/>
      <c r="F21" s="248"/>
      <c r="G21" s="133"/>
      <c r="H21" s="133"/>
      <c r="I21" s="133"/>
      <c r="J21" s="111">
        <v>155</v>
      </c>
      <c r="K21" s="111">
        <f t="shared" si="0"/>
        <v>0</v>
      </c>
      <c r="L21" s="104">
        <v>163</v>
      </c>
      <c r="M21" s="104">
        <f t="shared" si="1"/>
        <v>0</v>
      </c>
      <c r="N21" s="104">
        <v>171</v>
      </c>
      <c r="O21" s="104">
        <f t="shared" si="2"/>
        <v>0</v>
      </c>
      <c r="P21" s="104">
        <v>178</v>
      </c>
      <c r="Q21" s="111">
        <f t="shared" si="3"/>
        <v>0</v>
      </c>
      <c r="R21" s="104">
        <v>194</v>
      </c>
      <c r="S21" s="111">
        <f t="shared" si="4"/>
        <v>0</v>
      </c>
      <c r="T21" s="866"/>
      <c r="U21" s="867"/>
      <c r="V21" s="867"/>
      <c r="W21" s="883">
        <v>290</v>
      </c>
      <c r="X21" s="584"/>
      <c r="Y21" s="856">
        <v>18</v>
      </c>
      <c r="Z21" s="108">
        <v>6</v>
      </c>
      <c r="AA21" s="541" t="s">
        <v>65</v>
      </c>
      <c r="AB21" s="537">
        <v>45086</v>
      </c>
      <c r="AC21" s="537">
        <v>47642</v>
      </c>
      <c r="AD21" s="717" t="s">
        <v>66</v>
      </c>
      <c r="AE21" s="861" t="s">
        <v>67</v>
      </c>
      <c r="AF21" s="700"/>
      <c r="AG21" s="700"/>
      <c r="AH21" s="108"/>
      <c r="AI21" s="117"/>
      <c r="AJ21" s="108"/>
      <c r="AK21" s="860"/>
      <c r="AL21" s="553"/>
      <c r="AM21" s="856"/>
      <c r="AN21" s="108"/>
      <c r="AO21" s="108"/>
      <c r="AP21" s="864"/>
      <c r="AQ21" s="108"/>
      <c r="AR21" s="865"/>
      <c r="AS21" s="860"/>
      <c r="AU21" s="502"/>
      <c r="AV21" s="502"/>
      <c r="AW21" s="502"/>
      <c r="AX21" s="503"/>
      <c r="AY21" s="504"/>
      <c r="AZ21" s="857"/>
      <c r="BA21" s="857"/>
      <c r="BB21" s="857"/>
      <c r="BC21" s="108"/>
      <c r="BD21" s="534"/>
      <c r="BF21" s="447"/>
    </row>
    <row r="22" spans="1:58" s="42" customFormat="1" ht="31.5" hidden="1" customHeight="1">
      <c r="A22" s="119" t="s">
        <v>77</v>
      </c>
      <c r="B22" s="108">
        <v>3678</v>
      </c>
      <c r="C22" s="882" t="s">
        <v>78</v>
      </c>
      <c r="D22" s="824"/>
      <c r="E22" s="110"/>
      <c r="F22" s="248"/>
      <c r="G22" s="133"/>
      <c r="H22" s="133"/>
      <c r="I22" s="133"/>
      <c r="J22" s="111">
        <v>155</v>
      </c>
      <c r="K22" s="111">
        <f t="shared" si="0"/>
        <v>0</v>
      </c>
      <c r="L22" s="104">
        <v>163</v>
      </c>
      <c r="M22" s="104">
        <f t="shared" si="1"/>
        <v>0</v>
      </c>
      <c r="N22" s="104">
        <v>171</v>
      </c>
      <c r="O22" s="104">
        <f t="shared" si="2"/>
        <v>0</v>
      </c>
      <c r="P22" s="104">
        <v>178</v>
      </c>
      <c r="Q22" s="111">
        <f t="shared" si="3"/>
        <v>0</v>
      </c>
      <c r="R22" s="104">
        <v>194</v>
      </c>
      <c r="S22" s="111">
        <f t="shared" si="4"/>
        <v>0</v>
      </c>
      <c r="T22" s="866"/>
      <c r="U22" s="867"/>
      <c r="V22" s="867"/>
      <c r="W22" s="883">
        <v>290</v>
      </c>
      <c r="X22" s="584"/>
      <c r="Y22" s="856">
        <v>18</v>
      </c>
      <c r="Z22" s="108">
        <v>6</v>
      </c>
      <c r="AA22" s="541" t="s">
        <v>79</v>
      </c>
      <c r="AB22" s="537">
        <v>43945</v>
      </c>
      <c r="AC22" s="537">
        <v>45770</v>
      </c>
      <c r="AD22" s="717" t="s">
        <v>80</v>
      </c>
      <c r="AE22" s="861" t="s">
        <v>67</v>
      </c>
      <c r="AF22" s="700"/>
      <c r="AG22" s="700"/>
      <c r="AH22" s="108"/>
      <c r="AI22" s="117"/>
      <c r="AJ22" s="108"/>
      <c r="AK22" s="860"/>
      <c r="AL22" s="553"/>
      <c r="AM22" s="856"/>
      <c r="AN22" s="108"/>
      <c r="AO22" s="108"/>
      <c r="AP22" s="864"/>
      <c r="AQ22" s="108"/>
      <c r="AR22" s="865"/>
      <c r="AS22" s="860"/>
      <c r="AU22" s="502"/>
      <c r="AV22" s="502"/>
      <c r="AW22" s="502"/>
      <c r="AX22" s="503"/>
      <c r="AY22" s="504"/>
      <c r="AZ22" s="857"/>
      <c r="BA22" s="857"/>
      <c r="BB22" s="857"/>
      <c r="BC22" s="108"/>
      <c r="BD22" s="534"/>
      <c r="BF22" s="447"/>
    </row>
    <row r="23" spans="1:58" s="42" customFormat="1" ht="53.25" hidden="1" customHeight="1">
      <c r="A23" s="119" t="s">
        <v>81</v>
      </c>
      <c r="B23" s="108">
        <v>3676</v>
      </c>
      <c r="C23" s="882" t="s">
        <v>82</v>
      </c>
      <c r="D23" s="824"/>
      <c r="E23" s="110"/>
      <c r="F23" s="248"/>
      <c r="G23" s="133"/>
      <c r="H23" s="133"/>
      <c r="I23" s="133"/>
      <c r="J23" s="111">
        <v>155</v>
      </c>
      <c r="K23" s="111">
        <f t="shared" si="0"/>
        <v>0</v>
      </c>
      <c r="L23" s="104">
        <v>163</v>
      </c>
      <c r="M23" s="104">
        <f t="shared" si="1"/>
        <v>0</v>
      </c>
      <c r="N23" s="104">
        <v>171</v>
      </c>
      <c r="O23" s="104">
        <f t="shared" si="2"/>
        <v>0</v>
      </c>
      <c r="P23" s="104">
        <v>178</v>
      </c>
      <c r="Q23" s="111">
        <f t="shared" si="3"/>
        <v>0</v>
      </c>
      <c r="R23" s="104">
        <v>194</v>
      </c>
      <c r="S23" s="111">
        <f t="shared" si="4"/>
        <v>0</v>
      </c>
      <c r="T23" s="866"/>
      <c r="U23" s="867"/>
      <c r="V23" s="867"/>
      <c r="W23" s="883">
        <v>290</v>
      </c>
      <c r="X23" s="584"/>
      <c r="Y23" s="856">
        <v>18</v>
      </c>
      <c r="Z23" s="108">
        <v>6</v>
      </c>
      <c r="AA23" s="541" t="s">
        <v>79</v>
      </c>
      <c r="AB23" s="537">
        <v>43945</v>
      </c>
      <c r="AC23" s="537">
        <v>45770</v>
      </c>
      <c r="AD23" s="768" t="s">
        <v>80</v>
      </c>
      <c r="AE23" s="861" t="s">
        <v>67</v>
      </c>
      <c r="AF23" s="700"/>
      <c r="AG23" s="700"/>
      <c r="AH23" s="108"/>
      <c r="AI23" s="117"/>
      <c r="AJ23" s="108"/>
      <c r="AK23" s="860"/>
      <c r="AL23" s="553"/>
      <c r="AM23" s="856"/>
      <c r="AN23" s="108"/>
      <c r="AO23" s="108"/>
      <c r="AP23" s="864"/>
      <c r="AQ23" s="108"/>
      <c r="AR23" s="865"/>
      <c r="AS23" s="860"/>
      <c r="AU23" s="502"/>
      <c r="AV23" s="502"/>
      <c r="AW23" s="502"/>
      <c r="AX23" s="503"/>
      <c r="AY23" s="504"/>
      <c r="AZ23" s="857"/>
      <c r="BA23" s="857"/>
      <c r="BB23" s="857"/>
      <c r="BC23" s="108"/>
      <c r="BD23" s="534"/>
      <c r="BF23" s="447"/>
    </row>
    <row r="24" spans="1:58" s="42" customFormat="1" ht="55.5" hidden="1" customHeight="1">
      <c r="A24" s="119" t="s">
        <v>83</v>
      </c>
      <c r="B24" s="108">
        <v>2628</v>
      </c>
      <c r="C24" s="882" t="s">
        <v>84</v>
      </c>
      <c r="D24" s="824"/>
      <c r="E24" s="110"/>
      <c r="F24" s="248"/>
      <c r="G24" s="133"/>
      <c r="H24" s="133"/>
      <c r="I24" s="133"/>
      <c r="J24" s="111">
        <v>255</v>
      </c>
      <c r="K24" s="111">
        <f>J24*F24</f>
        <v>0</v>
      </c>
      <c r="L24" s="104">
        <v>268</v>
      </c>
      <c r="M24" s="104">
        <f t="shared" si="1"/>
        <v>0</v>
      </c>
      <c r="N24" s="104">
        <v>281</v>
      </c>
      <c r="O24" s="104">
        <f t="shared" si="2"/>
        <v>0</v>
      </c>
      <c r="P24" s="104">
        <v>293</v>
      </c>
      <c r="Q24" s="111">
        <f t="shared" si="3"/>
        <v>0</v>
      </c>
      <c r="R24" s="104">
        <v>319</v>
      </c>
      <c r="S24" s="111">
        <f t="shared" si="4"/>
        <v>0</v>
      </c>
      <c r="T24" s="866"/>
      <c r="U24" s="867"/>
      <c r="V24" s="867"/>
      <c r="W24" s="883">
        <v>480</v>
      </c>
      <c r="X24" s="584"/>
      <c r="Y24" s="856">
        <v>18</v>
      </c>
      <c r="Z24" s="108">
        <v>6</v>
      </c>
      <c r="AA24" s="541" t="s">
        <v>79</v>
      </c>
      <c r="AB24" s="537">
        <v>43945</v>
      </c>
      <c r="AC24" s="537">
        <v>45770</v>
      </c>
      <c r="AD24" s="768" t="s">
        <v>80</v>
      </c>
      <c r="AE24" s="861" t="s">
        <v>67</v>
      </c>
      <c r="AF24" s="700"/>
      <c r="AG24" s="700"/>
      <c r="AH24" s="108"/>
      <c r="AI24" s="117"/>
      <c r="AJ24" s="108"/>
      <c r="AK24" s="860"/>
      <c r="AL24" s="553"/>
      <c r="AM24" s="856" t="s">
        <v>85</v>
      </c>
      <c r="AN24" s="108" t="s">
        <v>86</v>
      </c>
      <c r="AO24" s="108" t="s">
        <v>87</v>
      </c>
      <c r="AP24" s="864"/>
      <c r="AQ24" s="108"/>
      <c r="AR24" s="865"/>
      <c r="AS24" s="860"/>
      <c r="AU24" s="502"/>
      <c r="AV24" s="502"/>
      <c r="AW24" s="502"/>
      <c r="AX24" s="503"/>
      <c r="AY24" s="504"/>
      <c r="AZ24" s="857"/>
      <c r="BA24" s="857"/>
      <c r="BB24" s="857"/>
      <c r="BC24" s="108"/>
      <c r="BD24" s="534"/>
      <c r="BF24" s="447"/>
    </row>
    <row r="25" spans="1:58" s="42" customFormat="1" ht="49.5" hidden="1" customHeight="1">
      <c r="A25" s="119" t="s">
        <v>88</v>
      </c>
      <c r="B25" s="108">
        <v>4549</v>
      </c>
      <c r="C25" s="882" t="s">
        <v>89</v>
      </c>
      <c r="D25" s="824"/>
      <c r="E25" s="110"/>
      <c r="F25" s="248"/>
      <c r="G25" s="133"/>
      <c r="H25" s="133"/>
      <c r="I25" s="133"/>
      <c r="J25" s="111">
        <v>240</v>
      </c>
      <c r="K25" s="111">
        <f>J25*F25</f>
        <v>0</v>
      </c>
      <c r="L25" s="104">
        <v>252</v>
      </c>
      <c r="M25" s="104">
        <f t="shared" si="1"/>
        <v>0</v>
      </c>
      <c r="N25" s="104">
        <v>264</v>
      </c>
      <c r="O25" s="104">
        <f t="shared" si="2"/>
        <v>0</v>
      </c>
      <c r="P25" s="104">
        <v>276</v>
      </c>
      <c r="Q25" s="111">
        <f t="shared" si="3"/>
        <v>0</v>
      </c>
      <c r="R25" s="104">
        <v>300</v>
      </c>
      <c r="S25" s="111">
        <f t="shared" si="4"/>
        <v>0</v>
      </c>
      <c r="T25" s="866"/>
      <c r="U25" s="867"/>
      <c r="V25" s="867"/>
      <c r="W25" s="883">
        <v>455</v>
      </c>
      <c r="X25" s="584"/>
      <c r="Y25" s="856">
        <v>18</v>
      </c>
      <c r="Z25" s="108">
        <v>6</v>
      </c>
      <c r="AA25" s="541" t="s">
        <v>65</v>
      </c>
      <c r="AB25" s="537">
        <v>45086</v>
      </c>
      <c r="AC25" s="537">
        <v>47642</v>
      </c>
      <c r="AD25" s="768" t="s">
        <v>90</v>
      </c>
      <c r="AE25" s="861" t="s">
        <v>67</v>
      </c>
      <c r="AF25" s="700"/>
      <c r="AG25" s="700"/>
      <c r="AH25" s="108"/>
      <c r="AI25" s="117"/>
      <c r="AJ25" s="108"/>
      <c r="AK25" s="860"/>
      <c r="AL25" s="553"/>
      <c r="AM25" s="856" t="s">
        <v>91</v>
      </c>
      <c r="AN25" s="108" t="s">
        <v>92</v>
      </c>
      <c r="AO25" s="108" t="s">
        <v>93</v>
      </c>
      <c r="AP25" s="864"/>
      <c r="AQ25" s="108"/>
      <c r="AR25" s="865"/>
      <c r="AS25" s="860"/>
      <c r="AU25" s="502"/>
      <c r="AV25" s="502"/>
      <c r="AW25" s="502"/>
      <c r="AX25" s="503"/>
      <c r="AY25" s="504"/>
      <c r="AZ25" s="857"/>
      <c r="BA25" s="857"/>
      <c r="BB25" s="857"/>
      <c r="BC25" s="108"/>
      <c r="BD25" s="534"/>
      <c r="BF25" s="447"/>
    </row>
    <row r="26" spans="1:58" s="42" customFormat="1" ht="59.25" hidden="1" customHeight="1">
      <c r="A26" s="119" t="s">
        <v>68</v>
      </c>
      <c r="B26" s="108">
        <v>4548</v>
      </c>
      <c r="C26" s="882" t="s">
        <v>94</v>
      </c>
      <c r="D26" s="824"/>
      <c r="E26" s="110"/>
      <c r="F26" s="248"/>
      <c r="G26" s="133"/>
      <c r="H26" s="133"/>
      <c r="I26" s="133"/>
      <c r="J26" s="111">
        <v>240</v>
      </c>
      <c r="K26" s="111">
        <f>J26*F26</f>
        <v>0</v>
      </c>
      <c r="L26" s="104">
        <v>252</v>
      </c>
      <c r="M26" s="104">
        <f t="shared" si="1"/>
        <v>0</v>
      </c>
      <c r="N26" s="104">
        <v>264</v>
      </c>
      <c r="O26" s="104">
        <f t="shared" si="2"/>
        <v>0</v>
      </c>
      <c r="P26" s="104">
        <v>276</v>
      </c>
      <c r="Q26" s="111">
        <f t="shared" si="3"/>
        <v>0</v>
      </c>
      <c r="R26" s="104">
        <v>300</v>
      </c>
      <c r="S26" s="111">
        <f t="shared" si="4"/>
        <v>0</v>
      </c>
      <c r="T26" s="866"/>
      <c r="U26" s="867"/>
      <c r="V26" s="867"/>
      <c r="W26" s="883">
        <v>455</v>
      </c>
      <c r="X26" s="584"/>
      <c r="Y26" s="856">
        <v>18</v>
      </c>
      <c r="Z26" s="108">
        <v>6</v>
      </c>
      <c r="AA26" s="541" t="s">
        <v>70</v>
      </c>
      <c r="AB26" s="537">
        <v>45240</v>
      </c>
      <c r="AC26" s="537">
        <v>47796</v>
      </c>
      <c r="AD26" s="768" t="s">
        <v>71</v>
      </c>
      <c r="AE26" s="861" t="s">
        <v>67</v>
      </c>
      <c r="AF26" s="700"/>
      <c r="AG26" s="700"/>
      <c r="AH26" s="108"/>
      <c r="AI26" s="117"/>
      <c r="AJ26" s="108"/>
      <c r="AK26" s="860"/>
      <c r="AL26" s="553"/>
      <c r="AM26" s="856" t="s">
        <v>72</v>
      </c>
      <c r="AN26" s="108" t="s">
        <v>73</v>
      </c>
      <c r="AO26" s="108" t="s">
        <v>95</v>
      </c>
      <c r="AP26" s="864"/>
      <c r="AQ26" s="108"/>
      <c r="AR26" s="865"/>
      <c r="AS26" s="860"/>
      <c r="AU26" s="502"/>
      <c r="AV26" s="502"/>
      <c r="AW26" s="502"/>
      <c r="AX26" s="503"/>
      <c r="AY26" s="504"/>
      <c r="AZ26" s="857"/>
      <c r="BA26" s="857"/>
      <c r="BB26" s="857"/>
      <c r="BC26" s="108"/>
      <c r="BD26" s="534"/>
      <c r="BF26" s="447"/>
    </row>
    <row r="27" spans="1:58" s="42" customFormat="1" ht="48.75" hidden="1" customHeight="1">
      <c r="A27" s="119" t="s">
        <v>96</v>
      </c>
      <c r="B27" s="108">
        <v>3031</v>
      </c>
      <c r="C27" s="882" t="s">
        <v>97</v>
      </c>
      <c r="D27" s="824"/>
      <c r="E27" s="110"/>
      <c r="F27" s="248"/>
      <c r="G27" s="133"/>
      <c r="H27" s="133"/>
      <c r="I27" s="133"/>
      <c r="J27" s="111">
        <v>255</v>
      </c>
      <c r="K27" s="111">
        <f>J27*F27</f>
        <v>0</v>
      </c>
      <c r="L27" s="104">
        <v>268</v>
      </c>
      <c r="M27" s="104">
        <f t="shared" si="1"/>
        <v>0</v>
      </c>
      <c r="N27" s="104">
        <v>281</v>
      </c>
      <c r="O27" s="104">
        <f t="shared" si="2"/>
        <v>0</v>
      </c>
      <c r="P27" s="104">
        <v>293</v>
      </c>
      <c r="Q27" s="111">
        <f t="shared" si="3"/>
        <v>0</v>
      </c>
      <c r="R27" s="104">
        <v>319</v>
      </c>
      <c r="S27" s="111">
        <f t="shared" si="4"/>
        <v>0</v>
      </c>
      <c r="T27" s="866"/>
      <c r="U27" s="867"/>
      <c r="V27" s="867"/>
      <c r="W27" s="883">
        <v>480</v>
      </c>
      <c r="X27" s="584"/>
      <c r="Y27" s="856">
        <v>18</v>
      </c>
      <c r="Z27" s="108">
        <v>6</v>
      </c>
      <c r="AA27" s="541" t="s">
        <v>79</v>
      </c>
      <c r="AB27" s="537">
        <v>43945</v>
      </c>
      <c r="AC27" s="537">
        <v>45770</v>
      </c>
      <c r="AD27" s="768" t="s">
        <v>80</v>
      </c>
      <c r="AE27" s="861" t="s">
        <v>67</v>
      </c>
      <c r="AF27" s="700"/>
      <c r="AG27" s="700"/>
      <c r="AH27" s="108"/>
      <c r="AI27" s="117"/>
      <c r="AJ27" s="108"/>
      <c r="AK27" s="860"/>
      <c r="AL27" s="553"/>
      <c r="AM27" s="856"/>
      <c r="AN27" s="108"/>
      <c r="AO27" s="108"/>
      <c r="AP27" s="864"/>
      <c r="AQ27" s="108"/>
      <c r="AR27" s="865"/>
      <c r="AS27" s="860"/>
      <c r="AU27" s="502"/>
      <c r="AV27" s="502"/>
      <c r="AW27" s="502"/>
      <c r="AX27" s="503"/>
      <c r="AY27" s="504"/>
      <c r="AZ27" s="857"/>
      <c r="BA27" s="857"/>
      <c r="BB27" s="857"/>
      <c r="BC27" s="108"/>
      <c r="BD27" s="534"/>
      <c r="BF27" s="447"/>
    </row>
    <row r="28" spans="1:58" s="42" customFormat="1" ht="58.5" hidden="1" customHeight="1">
      <c r="A28" s="119" t="s">
        <v>98</v>
      </c>
      <c r="B28" s="108">
        <v>2627</v>
      </c>
      <c r="C28" s="882" t="s">
        <v>99</v>
      </c>
      <c r="D28" s="824"/>
      <c r="E28" s="110"/>
      <c r="F28" s="248"/>
      <c r="G28" s="133"/>
      <c r="H28" s="133"/>
      <c r="I28" s="133"/>
      <c r="J28" s="111">
        <v>255</v>
      </c>
      <c r="K28" s="111">
        <f>J28*F28</f>
        <v>0</v>
      </c>
      <c r="L28" s="104">
        <v>268</v>
      </c>
      <c r="M28" s="104">
        <f t="shared" si="1"/>
        <v>0</v>
      </c>
      <c r="N28" s="104">
        <v>281</v>
      </c>
      <c r="O28" s="104">
        <f t="shared" si="2"/>
        <v>0</v>
      </c>
      <c r="P28" s="104">
        <v>293</v>
      </c>
      <c r="Q28" s="111">
        <f t="shared" si="3"/>
        <v>0</v>
      </c>
      <c r="R28" s="104">
        <v>319</v>
      </c>
      <c r="S28" s="111">
        <f t="shared" si="4"/>
        <v>0</v>
      </c>
      <c r="T28" s="866"/>
      <c r="U28" s="867"/>
      <c r="V28" s="867"/>
      <c r="W28" s="883">
        <v>480</v>
      </c>
      <c r="X28" s="584"/>
      <c r="Y28" s="856">
        <v>18</v>
      </c>
      <c r="Z28" s="108">
        <v>6</v>
      </c>
      <c r="AA28" s="863"/>
      <c r="AB28" s="858"/>
      <c r="AC28" s="858"/>
      <c r="AD28" s="861"/>
      <c r="AE28" s="861" t="s">
        <v>67</v>
      </c>
      <c r="AF28" s="700"/>
      <c r="AG28" s="700"/>
      <c r="AH28" s="108"/>
      <c r="AI28" s="117"/>
      <c r="AJ28" s="108"/>
      <c r="AK28" s="860"/>
      <c r="AL28" s="553"/>
      <c r="AM28" s="856"/>
      <c r="AN28" s="108"/>
      <c r="AO28" s="108"/>
      <c r="AP28" s="864"/>
      <c r="AQ28" s="108"/>
      <c r="AR28" s="865"/>
      <c r="AS28" s="860"/>
      <c r="AU28" s="502"/>
      <c r="AV28" s="502"/>
      <c r="AW28" s="502"/>
      <c r="AX28" s="503"/>
      <c r="AY28" s="504"/>
      <c r="AZ28" s="857"/>
      <c r="BA28" s="857"/>
      <c r="BB28" s="857"/>
      <c r="BC28" s="108"/>
      <c r="BD28" s="534"/>
      <c r="BF28" s="447"/>
    </row>
    <row r="29" spans="1:58" s="42" customFormat="1" ht="42" hidden="1" customHeight="1">
      <c r="A29" s="119" t="s">
        <v>100</v>
      </c>
      <c r="B29" s="108">
        <v>4514</v>
      </c>
      <c r="C29" s="376" t="s">
        <v>101</v>
      </c>
      <c r="D29" s="824"/>
      <c r="E29" s="110"/>
      <c r="F29" s="248"/>
      <c r="G29" s="133"/>
      <c r="H29" s="133"/>
      <c r="I29" s="133"/>
      <c r="J29" s="111">
        <v>165</v>
      </c>
      <c r="K29" s="111">
        <f t="shared" si="0"/>
        <v>0</v>
      </c>
      <c r="L29" s="104">
        <v>173</v>
      </c>
      <c r="M29" s="104">
        <f t="shared" si="1"/>
        <v>0</v>
      </c>
      <c r="N29" s="104">
        <v>182</v>
      </c>
      <c r="O29" s="104">
        <f t="shared" si="2"/>
        <v>0</v>
      </c>
      <c r="P29" s="104">
        <v>190</v>
      </c>
      <c r="Q29" s="111">
        <f t="shared" si="3"/>
        <v>0</v>
      </c>
      <c r="R29" s="104">
        <v>206</v>
      </c>
      <c r="S29" s="111">
        <f t="shared" si="4"/>
        <v>0</v>
      </c>
      <c r="T29" s="866"/>
      <c r="U29" s="867"/>
      <c r="V29" s="867"/>
      <c r="W29" s="883">
        <v>310</v>
      </c>
      <c r="X29" s="584"/>
      <c r="Y29" s="856">
        <v>12</v>
      </c>
      <c r="Z29" s="108">
        <v>3</v>
      </c>
      <c r="AA29" s="541" t="s">
        <v>102</v>
      </c>
      <c r="AB29" s="537">
        <v>43889</v>
      </c>
      <c r="AC29" s="537">
        <v>45715</v>
      </c>
      <c r="AD29" s="768" t="s">
        <v>103</v>
      </c>
      <c r="AE29" s="861" t="s">
        <v>67</v>
      </c>
      <c r="AF29" s="700"/>
      <c r="AG29" s="700"/>
      <c r="AH29" s="108"/>
      <c r="AI29" s="117"/>
      <c r="AJ29" s="108"/>
      <c r="AK29" s="860"/>
      <c r="AL29" s="553"/>
      <c r="AM29" s="856" t="s">
        <v>104</v>
      </c>
      <c r="AN29" s="108" t="s">
        <v>105</v>
      </c>
      <c r="AO29" s="108" t="s">
        <v>106</v>
      </c>
      <c r="AP29" s="864"/>
      <c r="AQ29" s="108"/>
      <c r="AR29" s="865"/>
      <c r="AS29" s="860"/>
      <c r="AU29" s="502"/>
      <c r="AV29" s="502"/>
      <c r="AW29" s="502"/>
      <c r="AX29" s="503"/>
      <c r="AY29" s="504"/>
      <c r="AZ29" s="857"/>
      <c r="BA29" s="857"/>
      <c r="BB29" s="857"/>
      <c r="BC29" s="108"/>
      <c r="BD29" s="534"/>
      <c r="BF29" s="447"/>
    </row>
    <row r="30" spans="1:58" s="42" customFormat="1" ht="70.5" hidden="1" customHeight="1">
      <c r="A30" s="119" t="s">
        <v>107</v>
      </c>
      <c r="B30" s="108">
        <v>4515</v>
      </c>
      <c r="C30" s="376" t="s">
        <v>108</v>
      </c>
      <c r="D30" s="824"/>
      <c r="E30" s="110"/>
      <c r="F30" s="248"/>
      <c r="G30" s="133"/>
      <c r="H30" s="133"/>
      <c r="I30" s="133"/>
      <c r="J30" s="111">
        <v>165</v>
      </c>
      <c r="K30" s="111">
        <f t="shared" si="0"/>
        <v>0</v>
      </c>
      <c r="L30" s="104">
        <v>173</v>
      </c>
      <c r="M30" s="104">
        <f t="shared" si="1"/>
        <v>0</v>
      </c>
      <c r="N30" s="104">
        <v>182</v>
      </c>
      <c r="O30" s="104">
        <f t="shared" si="2"/>
        <v>0</v>
      </c>
      <c r="P30" s="104">
        <v>190</v>
      </c>
      <c r="Q30" s="111">
        <f t="shared" si="3"/>
        <v>0</v>
      </c>
      <c r="R30" s="104">
        <v>206</v>
      </c>
      <c r="S30" s="111">
        <f t="shared" si="4"/>
        <v>0</v>
      </c>
      <c r="T30" s="866"/>
      <c r="U30" s="867"/>
      <c r="V30" s="867"/>
      <c r="W30" s="883">
        <v>310</v>
      </c>
      <c r="X30" s="584"/>
      <c r="Y30" s="856">
        <v>12</v>
      </c>
      <c r="Z30" s="108">
        <v>3</v>
      </c>
      <c r="AA30" s="541" t="s">
        <v>109</v>
      </c>
      <c r="AB30" s="537">
        <v>45240</v>
      </c>
      <c r="AC30" s="537">
        <v>47796</v>
      </c>
      <c r="AD30" s="768" t="s">
        <v>110</v>
      </c>
      <c r="AE30" s="861" t="s">
        <v>67</v>
      </c>
      <c r="AF30" s="700"/>
      <c r="AG30" s="700"/>
      <c r="AH30" s="108"/>
      <c r="AI30" s="117"/>
      <c r="AJ30" s="108"/>
      <c r="AK30" s="860"/>
      <c r="AL30" s="553"/>
      <c r="AM30" s="856"/>
      <c r="AN30" s="108"/>
      <c r="AO30" s="108"/>
      <c r="AP30" s="864"/>
      <c r="AQ30" s="108"/>
      <c r="AR30" s="865"/>
      <c r="AS30" s="860"/>
      <c r="AU30" s="502"/>
      <c r="AV30" s="502"/>
      <c r="AW30" s="502"/>
      <c r="AX30" s="503"/>
      <c r="AY30" s="504"/>
      <c r="AZ30" s="857"/>
      <c r="BA30" s="857"/>
      <c r="BB30" s="857"/>
      <c r="BC30" s="108"/>
      <c r="BD30" s="534"/>
      <c r="BF30" s="447"/>
    </row>
    <row r="31" spans="1:58" s="42" customFormat="1" ht="45" hidden="1" customHeight="1">
      <c r="A31" s="119" t="s">
        <v>111</v>
      </c>
      <c r="B31" s="108">
        <v>3675</v>
      </c>
      <c r="C31" s="376" t="s">
        <v>112</v>
      </c>
      <c r="D31" s="824"/>
      <c r="E31" s="110"/>
      <c r="F31" s="248"/>
      <c r="G31" s="133"/>
      <c r="H31" s="133"/>
      <c r="I31" s="133"/>
      <c r="J31" s="111">
        <v>440</v>
      </c>
      <c r="K31" s="111">
        <f t="shared" si="0"/>
        <v>0</v>
      </c>
      <c r="L31" s="104">
        <v>462</v>
      </c>
      <c r="M31" s="104">
        <f t="shared" si="1"/>
        <v>0</v>
      </c>
      <c r="N31" s="104">
        <v>484</v>
      </c>
      <c r="O31" s="104">
        <f t="shared" si="2"/>
        <v>0</v>
      </c>
      <c r="P31" s="104">
        <v>506</v>
      </c>
      <c r="Q31" s="111">
        <f t="shared" si="3"/>
        <v>0</v>
      </c>
      <c r="R31" s="104">
        <v>550</v>
      </c>
      <c r="S31" s="111">
        <f t="shared" si="4"/>
        <v>0</v>
      </c>
      <c r="T31" s="866"/>
      <c r="U31" s="867"/>
      <c r="V31" s="867"/>
      <c r="W31" s="883"/>
      <c r="X31" s="584"/>
      <c r="Y31" s="856">
        <v>12</v>
      </c>
      <c r="Z31" s="108">
        <v>3</v>
      </c>
      <c r="AA31" s="863"/>
      <c r="AB31" s="858"/>
      <c r="AC31" s="858"/>
      <c r="AD31" s="861"/>
      <c r="AE31" s="861" t="s">
        <v>67</v>
      </c>
      <c r="AF31" s="700"/>
      <c r="AG31" s="700"/>
      <c r="AH31" s="108"/>
      <c r="AI31" s="117"/>
      <c r="AJ31" s="108"/>
      <c r="AK31" s="860"/>
      <c r="AL31" s="553"/>
      <c r="AM31" s="856"/>
      <c r="AN31" s="108"/>
      <c r="AO31" s="108"/>
      <c r="AP31" s="864"/>
      <c r="AQ31" s="108"/>
      <c r="AR31" s="865"/>
      <c r="AS31" s="860"/>
      <c r="AU31" s="502"/>
      <c r="AV31" s="502"/>
      <c r="AW31" s="502"/>
      <c r="AX31" s="503"/>
      <c r="AY31" s="504"/>
      <c r="AZ31" s="857"/>
      <c r="BA31" s="857"/>
      <c r="BB31" s="857"/>
      <c r="BC31" s="108"/>
      <c r="BD31" s="534"/>
      <c r="BF31" s="447"/>
    </row>
    <row r="32" spans="1:58" s="42" customFormat="1" ht="39.75" hidden="1" customHeight="1">
      <c r="A32" s="119" t="s">
        <v>113</v>
      </c>
      <c r="B32" s="108">
        <v>4545</v>
      </c>
      <c r="C32" s="376" t="s">
        <v>114</v>
      </c>
      <c r="D32" s="824"/>
      <c r="E32" s="110"/>
      <c r="F32" s="248"/>
      <c r="G32" s="133"/>
      <c r="H32" s="133"/>
      <c r="I32" s="133"/>
      <c r="J32" s="111">
        <v>255</v>
      </c>
      <c r="K32" s="111">
        <f t="shared" si="0"/>
        <v>0</v>
      </c>
      <c r="L32" s="104">
        <v>268</v>
      </c>
      <c r="M32" s="104">
        <f t="shared" si="1"/>
        <v>0</v>
      </c>
      <c r="N32" s="104">
        <v>281</v>
      </c>
      <c r="O32" s="104">
        <f t="shared" si="2"/>
        <v>0</v>
      </c>
      <c r="P32" s="104">
        <v>293</v>
      </c>
      <c r="Q32" s="111">
        <f t="shared" si="3"/>
        <v>0</v>
      </c>
      <c r="R32" s="104">
        <v>319</v>
      </c>
      <c r="S32" s="111">
        <f t="shared" si="4"/>
        <v>0</v>
      </c>
      <c r="T32" s="866"/>
      <c r="U32" s="867"/>
      <c r="V32" s="867"/>
      <c r="W32" s="883">
        <v>480</v>
      </c>
      <c r="X32" s="584"/>
      <c r="Y32" s="856">
        <v>12</v>
      </c>
      <c r="Z32" s="108">
        <v>3</v>
      </c>
      <c r="AA32" s="787" t="s">
        <v>115</v>
      </c>
      <c r="AB32" s="788">
        <v>44910</v>
      </c>
      <c r="AC32" s="788">
        <v>45356</v>
      </c>
      <c r="AD32" s="768" t="s">
        <v>116</v>
      </c>
      <c r="AE32" s="861" t="s">
        <v>67</v>
      </c>
      <c r="AF32" s="700"/>
      <c r="AG32" s="700"/>
      <c r="AH32" s="108"/>
      <c r="AI32" s="117"/>
      <c r="AJ32" s="108"/>
      <c r="AK32" s="860"/>
      <c r="AL32" s="553"/>
      <c r="AM32" s="856"/>
      <c r="AN32" s="108"/>
      <c r="AO32" s="108"/>
      <c r="AP32" s="864"/>
      <c r="AQ32" s="108"/>
      <c r="AR32" s="865"/>
      <c r="AS32" s="860"/>
      <c r="AU32" s="502"/>
      <c r="AV32" s="502"/>
      <c r="AW32" s="502"/>
      <c r="AX32" s="503"/>
      <c r="AY32" s="504"/>
      <c r="AZ32" s="857"/>
      <c r="BA32" s="857"/>
      <c r="BB32" s="857"/>
      <c r="BC32" s="108"/>
      <c r="BD32" s="534"/>
      <c r="BF32" s="447"/>
    </row>
    <row r="33" spans="1:58" s="42" customFormat="1" ht="44.25" hidden="1" customHeight="1">
      <c r="A33" s="119" t="s">
        <v>113</v>
      </c>
      <c r="B33" s="108">
        <v>4547</v>
      </c>
      <c r="C33" s="251" t="s">
        <v>117</v>
      </c>
      <c r="D33" s="824"/>
      <c r="E33" s="110"/>
      <c r="F33" s="248"/>
      <c r="G33" s="133"/>
      <c r="H33" s="133"/>
      <c r="I33" s="133"/>
      <c r="J33" s="111">
        <v>255</v>
      </c>
      <c r="K33" s="111">
        <f t="shared" si="0"/>
        <v>0</v>
      </c>
      <c r="L33" s="104">
        <v>268</v>
      </c>
      <c r="M33" s="104">
        <f t="shared" si="1"/>
        <v>0</v>
      </c>
      <c r="N33" s="104">
        <v>281</v>
      </c>
      <c r="O33" s="104">
        <f t="shared" si="2"/>
        <v>0</v>
      </c>
      <c r="P33" s="104">
        <v>293</v>
      </c>
      <c r="Q33" s="111">
        <f t="shared" si="3"/>
        <v>0</v>
      </c>
      <c r="R33" s="104">
        <v>319</v>
      </c>
      <c r="S33" s="111">
        <f t="shared" si="4"/>
        <v>0</v>
      </c>
      <c r="T33" s="866"/>
      <c r="U33" s="867"/>
      <c r="V33" s="867"/>
      <c r="W33" s="883">
        <v>480</v>
      </c>
      <c r="X33" s="584"/>
      <c r="Y33" s="856">
        <v>12</v>
      </c>
      <c r="Z33" s="108">
        <v>3</v>
      </c>
      <c r="AA33" s="541" t="s">
        <v>118</v>
      </c>
      <c r="AB33" s="537">
        <v>45034</v>
      </c>
      <c r="AC33" s="537">
        <v>47589</v>
      </c>
      <c r="AD33" s="768" t="s">
        <v>119</v>
      </c>
      <c r="AE33" s="861" t="s">
        <v>67</v>
      </c>
      <c r="AF33" s="700"/>
      <c r="AG33" s="700"/>
      <c r="AH33" s="108"/>
      <c r="AI33" s="117"/>
      <c r="AJ33" s="108"/>
      <c r="AK33" s="860"/>
      <c r="AL33" s="553"/>
      <c r="AM33" s="856"/>
      <c r="AN33" s="108"/>
      <c r="AO33" s="108"/>
      <c r="AP33" s="864"/>
      <c r="AQ33" s="108"/>
      <c r="AR33" s="865"/>
      <c r="AS33" s="860"/>
      <c r="AU33" s="502"/>
      <c r="AV33" s="502"/>
      <c r="AW33" s="502"/>
      <c r="AX33" s="503"/>
      <c r="AY33" s="504"/>
      <c r="AZ33" s="857"/>
      <c r="BA33" s="857"/>
      <c r="BB33" s="857"/>
      <c r="BC33" s="108"/>
      <c r="BD33" s="534"/>
      <c r="BF33" s="447"/>
    </row>
    <row r="34" spans="1:58" s="42" customFormat="1" ht="34.5" hidden="1" customHeight="1">
      <c r="A34" s="119" t="s">
        <v>113</v>
      </c>
      <c r="B34" s="108">
        <v>4546</v>
      </c>
      <c r="C34" s="251" t="s">
        <v>120</v>
      </c>
      <c r="D34" s="824"/>
      <c r="E34" s="110"/>
      <c r="F34" s="248"/>
      <c r="G34" s="133"/>
      <c r="H34" s="133"/>
      <c r="I34" s="133"/>
      <c r="J34" s="111">
        <v>255</v>
      </c>
      <c r="K34" s="111">
        <f t="shared" si="0"/>
        <v>0</v>
      </c>
      <c r="L34" s="104">
        <v>268</v>
      </c>
      <c r="M34" s="104">
        <f t="shared" si="1"/>
        <v>0</v>
      </c>
      <c r="N34" s="104">
        <v>281</v>
      </c>
      <c r="O34" s="104">
        <f t="shared" si="2"/>
        <v>0</v>
      </c>
      <c r="P34" s="104">
        <v>293</v>
      </c>
      <c r="Q34" s="111">
        <f t="shared" si="3"/>
        <v>0</v>
      </c>
      <c r="R34" s="104">
        <v>319</v>
      </c>
      <c r="S34" s="111">
        <f t="shared" si="4"/>
        <v>0</v>
      </c>
      <c r="T34" s="866"/>
      <c r="U34" s="867"/>
      <c r="V34" s="867"/>
      <c r="W34" s="883">
        <v>480</v>
      </c>
      <c r="X34" s="584"/>
      <c r="Y34" s="856">
        <v>12</v>
      </c>
      <c r="Z34" s="108">
        <v>3</v>
      </c>
      <c r="AA34" s="541" t="s">
        <v>118</v>
      </c>
      <c r="AB34" s="537">
        <v>45034</v>
      </c>
      <c r="AC34" s="537">
        <v>47589</v>
      </c>
      <c r="AD34" s="768" t="s">
        <v>119</v>
      </c>
      <c r="AE34" s="861" t="s">
        <v>67</v>
      </c>
      <c r="AF34" s="700"/>
      <c r="AG34" s="700"/>
      <c r="AH34" s="108"/>
      <c r="AI34" s="117"/>
      <c r="AJ34" s="108"/>
      <c r="AK34" s="860"/>
      <c r="AL34" s="553"/>
      <c r="AM34" s="856"/>
      <c r="AN34" s="108"/>
      <c r="AO34" s="108"/>
      <c r="AP34" s="864"/>
      <c r="AQ34" s="108"/>
      <c r="AR34" s="865"/>
      <c r="AS34" s="860"/>
      <c r="AU34" s="502"/>
      <c r="AV34" s="502"/>
      <c r="AW34" s="502"/>
      <c r="AX34" s="503"/>
      <c r="AY34" s="504"/>
      <c r="AZ34" s="857"/>
      <c r="BA34" s="857"/>
      <c r="BB34" s="857"/>
      <c r="BC34" s="108"/>
      <c r="BD34" s="534"/>
      <c r="BF34" s="447"/>
    </row>
    <row r="35" spans="1:58" s="42" customFormat="1" ht="40.5" hidden="1" customHeight="1">
      <c r="A35" s="868" t="s">
        <v>121</v>
      </c>
      <c r="B35" s="869">
        <v>2674</v>
      </c>
      <c r="C35" s="870" t="s">
        <v>122</v>
      </c>
      <c r="D35" s="326"/>
      <c r="E35" s="385"/>
      <c r="F35" s="248"/>
      <c r="G35" s="873"/>
      <c r="H35" s="421"/>
      <c r="I35" s="874"/>
      <c r="J35" s="421">
        <v>180</v>
      </c>
      <c r="K35" s="874">
        <f t="shared" ref="K35:K51" si="5">J35*F35</f>
        <v>0</v>
      </c>
      <c r="L35" s="413">
        <v>189</v>
      </c>
      <c r="M35" s="874">
        <f t="shared" si="1"/>
        <v>0</v>
      </c>
      <c r="N35" s="413">
        <v>198</v>
      </c>
      <c r="O35" s="874">
        <f t="shared" si="2"/>
        <v>0</v>
      </c>
      <c r="P35" s="413">
        <v>207</v>
      </c>
      <c r="Q35" s="874">
        <f t="shared" si="3"/>
        <v>0</v>
      </c>
      <c r="R35" s="413">
        <v>225</v>
      </c>
      <c r="S35" s="874">
        <f t="shared" si="4"/>
        <v>0</v>
      </c>
      <c r="T35" s="875">
        <v>95</v>
      </c>
      <c r="U35" s="876">
        <v>0</v>
      </c>
      <c r="V35" s="877"/>
      <c r="W35" s="301">
        <v>340</v>
      </c>
      <c r="X35" s="584"/>
      <c r="Y35" s="856">
        <v>12</v>
      </c>
      <c r="Z35" s="108"/>
      <c r="AA35" s="541" t="s">
        <v>123</v>
      </c>
      <c r="AB35" s="537">
        <v>44193</v>
      </c>
      <c r="AC35" s="537">
        <v>46018</v>
      </c>
      <c r="AD35" s="769" t="s">
        <v>124</v>
      </c>
      <c r="AE35" s="861" t="s">
        <v>67</v>
      </c>
      <c r="AF35" s="700"/>
      <c r="AG35" s="700"/>
      <c r="AH35" s="108" t="s">
        <v>125</v>
      </c>
      <c r="AI35" s="117"/>
      <c r="AJ35" s="1010" t="s">
        <v>126</v>
      </c>
      <c r="AK35" s="860"/>
      <c r="AL35" s="553"/>
      <c r="AM35" s="856"/>
      <c r="AN35" s="108"/>
      <c r="AO35" s="108"/>
      <c r="AP35" s="864"/>
      <c r="AQ35" s="108"/>
      <c r="AR35" s="865"/>
      <c r="AS35" s="860"/>
      <c r="AU35" s="502"/>
      <c r="AV35" s="502"/>
      <c r="AW35" s="502"/>
      <c r="AX35" s="503"/>
      <c r="AY35" s="504"/>
      <c r="AZ35" s="857"/>
      <c r="BA35" s="857"/>
      <c r="BB35" s="857"/>
      <c r="BC35" s="108"/>
      <c r="BD35" s="534"/>
      <c r="BF35" s="447"/>
    </row>
    <row r="36" spans="1:58" s="42" customFormat="1" ht="39" hidden="1" customHeight="1">
      <c r="A36" s="361">
        <v>4620748863260</v>
      </c>
      <c r="B36" s="871">
        <v>1532</v>
      </c>
      <c r="C36" s="870" t="s">
        <v>127</v>
      </c>
      <c r="D36" s="249"/>
      <c r="E36" s="239"/>
      <c r="F36" s="248"/>
      <c r="G36" s="315"/>
      <c r="H36" s="367"/>
      <c r="I36" s="418"/>
      <c r="J36" s="367">
        <v>175</v>
      </c>
      <c r="K36" s="418">
        <f t="shared" si="5"/>
        <v>0</v>
      </c>
      <c r="L36" s="413">
        <v>183.75</v>
      </c>
      <c r="M36" s="418">
        <f t="shared" si="1"/>
        <v>0</v>
      </c>
      <c r="N36" s="413">
        <v>192.5</v>
      </c>
      <c r="O36" s="418">
        <f t="shared" si="2"/>
        <v>0</v>
      </c>
      <c r="P36" s="413">
        <v>201.25</v>
      </c>
      <c r="Q36" s="418">
        <f t="shared" si="3"/>
        <v>0</v>
      </c>
      <c r="R36" s="413">
        <v>218.75</v>
      </c>
      <c r="S36" s="418">
        <f t="shared" si="4"/>
        <v>0</v>
      </c>
      <c r="T36" s="812">
        <v>95</v>
      </c>
      <c r="U36" s="878">
        <v>0</v>
      </c>
      <c r="V36" s="879"/>
      <c r="W36" s="301">
        <v>330</v>
      </c>
      <c r="X36" s="584"/>
      <c r="Y36" s="856">
        <v>12</v>
      </c>
      <c r="Z36" s="108"/>
      <c r="AA36" s="541" t="s">
        <v>123</v>
      </c>
      <c r="AB36" s="537">
        <v>44193</v>
      </c>
      <c r="AC36" s="537">
        <v>46018</v>
      </c>
      <c r="AD36" s="769" t="s">
        <v>124</v>
      </c>
      <c r="AE36" s="861" t="s">
        <v>67</v>
      </c>
      <c r="AF36" s="700"/>
      <c r="AG36" s="700"/>
      <c r="AH36" s="108" t="s">
        <v>125</v>
      </c>
      <c r="AI36" s="117"/>
      <c r="AJ36" s="1010" t="s">
        <v>126</v>
      </c>
      <c r="AK36" s="860"/>
      <c r="AL36" s="553"/>
      <c r="AM36" s="856"/>
      <c r="AN36" s="108"/>
      <c r="AO36" s="108"/>
      <c r="AP36" s="864"/>
      <c r="AQ36" s="108"/>
      <c r="AR36" s="865"/>
      <c r="AS36" s="860"/>
      <c r="AU36" s="502"/>
      <c r="AV36" s="502"/>
      <c r="AW36" s="502"/>
      <c r="AX36" s="503"/>
      <c r="AY36" s="504"/>
      <c r="AZ36" s="857"/>
      <c r="BA36" s="857"/>
      <c r="BB36" s="857"/>
      <c r="BC36" s="108"/>
      <c r="BD36" s="534"/>
      <c r="BF36" s="447"/>
    </row>
    <row r="37" spans="1:58" s="42" customFormat="1" ht="40.5" hidden="1" customHeight="1">
      <c r="A37" s="361">
        <v>4620748863284</v>
      </c>
      <c r="B37" s="871">
        <v>1531</v>
      </c>
      <c r="C37" s="870" t="s">
        <v>128</v>
      </c>
      <c r="D37" s="249"/>
      <c r="E37" s="239"/>
      <c r="F37" s="248"/>
      <c r="G37" s="315"/>
      <c r="H37" s="367"/>
      <c r="I37" s="418"/>
      <c r="J37" s="367">
        <v>175</v>
      </c>
      <c r="K37" s="418">
        <f t="shared" si="5"/>
        <v>0</v>
      </c>
      <c r="L37" s="413">
        <v>183.75</v>
      </c>
      <c r="M37" s="418">
        <f t="shared" si="1"/>
        <v>0</v>
      </c>
      <c r="N37" s="413">
        <v>192.5</v>
      </c>
      <c r="O37" s="418">
        <f t="shared" si="2"/>
        <v>0</v>
      </c>
      <c r="P37" s="413">
        <v>201.25</v>
      </c>
      <c r="Q37" s="418">
        <f t="shared" si="3"/>
        <v>0</v>
      </c>
      <c r="R37" s="413">
        <v>218.75</v>
      </c>
      <c r="S37" s="418">
        <f t="shared" si="4"/>
        <v>0</v>
      </c>
      <c r="T37" s="812">
        <v>95</v>
      </c>
      <c r="U37" s="878">
        <v>0</v>
      </c>
      <c r="V37" s="879"/>
      <c r="W37" s="301">
        <v>330</v>
      </c>
      <c r="X37" s="584"/>
      <c r="Y37" s="856">
        <v>12</v>
      </c>
      <c r="Z37" s="108"/>
      <c r="AA37" s="541" t="s">
        <v>123</v>
      </c>
      <c r="AB37" s="537">
        <v>44193</v>
      </c>
      <c r="AC37" s="537">
        <v>46018</v>
      </c>
      <c r="AD37" s="769" t="s">
        <v>124</v>
      </c>
      <c r="AE37" s="861" t="s">
        <v>67</v>
      </c>
      <c r="AF37" s="700"/>
      <c r="AG37" s="700"/>
      <c r="AH37" s="108" t="s">
        <v>125</v>
      </c>
      <c r="AI37" s="117"/>
      <c r="AJ37" s="1010" t="s">
        <v>126</v>
      </c>
      <c r="AK37" s="860"/>
      <c r="AL37" s="553"/>
      <c r="AM37" s="856"/>
      <c r="AN37" s="108"/>
      <c r="AO37" s="108"/>
      <c r="AP37" s="864"/>
      <c r="AQ37" s="108"/>
      <c r="AR37" s="865"/>
      <c r="AS37" s="860"/>
      <c r="AU37" s="502"/>
      <c r="AV37" s="502"/>
      <c r="AW37" s="502"/>
      <c r="AX37" s="503"/>
      <c r="AY37" s="504"/>
      <c r="AZ37" s="857"/>
      <c r="BA37" s="857"/>
      <c r="BB37" s="857"/>
      <c r="BC37" s="108"/>
      <c r="BD37" s="534"/>
      <c r="BF37" s="447"/>
    </row>
    <row r="38" spans="1:58" s="42" customFormat="1" ht="43.5" hidden="1" customHeight="1">
      <c r="A38" s="361">
        <v>4620748863277</v>
      </c>
      <c r="B38" s="871">
        <v>1530</v>
      </c>
      <c r="C38" s="870" t="s">
        <v>129</v>
      </c>
      <c r="D38" s="249"/>
      <c r="E38" s="239"/>
      <c r="F38" s="248"/>
      <c r="G38" s="315"/>
      <c r="H38" s="367"/>
      <c r="I38" s="418"/>
      <c r="J38" s="367">
        <v>175</v>
      </c>
      <c r="K38" s="418">
        <f t="shared" si="5"/>
        <v>0</v>
      </c>
      <c r="L38" s="413">
        <v>183.75</v>
      </c>
      <c r="M38" s="418">
        <f t="shared" si="1"/>
        <v>0</v>
      </c>
      <c r="N38" s="413">
        <v>192.5</v>
      </c>
      <c r="O38" s="418">
        <f t="shared" si="2"/>
        <v>0</v>
      </c>
      <c r="P38" s="413">
        <v>201.25</v>
      </c>
      <c r="Q38" s="418">
        <f t="shared" si="3"/>
        <v>0</v>
      </c>
      <c r="R38" s="413">
        <v>218.75</v>
      </c>
      <c r="S38" s="418">
        <f t="shared" si="4"/>
        <v>0</v>
      </c>
      <c r="T38" s="812">
        <v>95</v>
      </c>
      <c r="U38" s="878">
        <v>0</v>
      </c>
      <c r="V38" s="879"/>
      <c r="W38" s="301">
        <v>330</v>
      </c>
      <c r="X38" s="584"/>
      <c r="Y38" s="856">
        <v>12</v>
      </c>
      <c r="Z38" s="108"/>
      <c r="AA38" s="541" t="s">
        <v>123</v>
      </c>
      <c r="AB38" s="537">
        <v>44193</v>
      </c>
      <c r="AC38" s="537">
        <v>46018</v>
      </c>
      <c r="AD38" s="769" t="s">
        <v>124</v>
      </c>
      <c r="AE38" s="861" t="s">
        <v>67</v>
      </c>
      <c r="AF38" s="700"/>
      <c r="AG38" s="700"/>
      <c r="AH38" s="108" t="s">
        <v>125</v>
      </c>
      <c r="AI38" s="117"/>
      <c r="AJ38" s="1010" t="s">
        <v>130</v>
      </c>
      <c r="AK38" s="860"/>
      <c r="AL38" s="553"/>
      <c r="AM38" s="856"/>
      <c r="AN38" s="108"/>
      <c r="AO38" s="108"/>
      <c r="AP38" s="864"/>
      <c r="AQ38" s="108"/>
      <c r="AR38" s="865"/>
      <c r="AS38" s="860"/>
      <c r="AU38" s="502"/>
      <c r="AV38" s="502"/>
      <c r="AW38" s="502"/>
      <c r="AX38" s="503"/>
      <c r="AY38" s="504"/>
      <c r="AZ38" s="857"/>
      <c r="BA38" s="857"/>
      <c r="BB38" s="857"/>
      <c r="BC38" s="108"/>
      <c r="BD38" s="534"/>
      <c r="BF38" s="447"/>
    </row>
    <row r="39" spans="1:58" s="42" customFormat="1" ht="30.75" hidden="1" customHeight="1">
      <c r="A39" s="361">
        <v>4627101820571</v>
      </c>
      <c r="B39" s="871">
        <v>1538</v>
      </c>
      <c r="C39" s="870" t="s">
        <v>131</v>
      </c>
      <c r="D39" s="249"/>
      <c r="E39" s="239"/>
      <c r="F39" s="248"/>
      <c r="G39" s="315"/>
      <c r="H39" s="367"/>
      <c r="I39" s="418"/>
      <c r="J39" s="367">
        <v>220</v>
      </c>
      <c r="K39" s="418">
        <f t="shared" si="5"/>
        <v>0</v>
      </c>
      <c r="L39" s="413">
        <v>231</v>
      </c>
      <c r="M39" s="418">
        <f t="shared" si="1"/>
        <v>0</v>
      </c>
      <c r="N39" s="413">
        <v>242</v>
      </c>
      <c r="O39" s="418">
        <f t="shared" si="2"/>
        <v>0</v>
      </c>
      <c r="P39" s="413">
        <v>253</v>
      </c>
      <c r="Q39" s="418">
        <f t="shared" si="3"/>
        <v>0</v>
      </c>
      <c r="R39" s="413">
        <v>275</v>
      </c>
      <c r="S39" s="418">
        <f t="shared" si="4"/>
        <v>0</v>
      </c>
      <c r="T39" s="812">
        <v>155</v>
      </c>
      <c r="U39" s="878">
        <v>0</v>
      </c>
      <c r="V39" s="879"/>
      <c r="W39" s="301">
        <v>415</v>
      </c>
      <c r="X39" s="584"/>
      <c r="Y39" s="856">
        <v>12</v>
      </c>
      <c r="Z39" s="108"/>
      <c r="AA39" s="541" t="s">
        <v>123</v>
      </c>
      <c r="AB39" s="537">
        <v>44193</v>
      </c>
      <c r="AC39" s="537">
        <v>46018</v>
      </c>
      <c r="AD39" s="769" t="s">
        <v>124</v>
      </c>
      <c r="AE39" s="861" t="s">
        <v>67</v>
      </c>
      <c r="AF39" s="700"/>
      <c r="AG39" s="700"/>
      <c r="AH39" s="108" t="s">
        <v>132</v>
      </c>
      <c r="AI39" s="117"/>
      <c r="AJ39" s="1010" t="s">
        <v>130</v>
      </c>
      <c r="AK39" s="860"/>
      <c r="AL39" s="553"/>
      <c r="AM39" s="856"/>
      <c r="AN39" s="108"/>
      <c r="AO39" s="108"/>
      <c r="AP39" s="864"/>
      <c r="AQ39" s="108"/>
      <c r="AR39" s="865"/>
      <c r="AS39" s="860"/>
      <c r="AU39" s="502"/>
      <c r="AV39" s="502"/>
      <c r="AW39" s="502"/>
      <c r="AX39" s="503"/>
      <c r="AY39" s="504"/>
      <c r="AZ39" s="857"/>
      <c r="BA39" s="857"/>
      <c r="BB39" s="857"/>
      <c r="BC39" s="108"/>
      <c r="BD39" s="534"/>
      <c r="BF39" s="447"/>
    </row>
    <row r="40" spans="1:58" s="42" customFormat="1" ht="46.5" hidden="1" customHeight="1">
      <c r="A40" s="468">
        <v>4627101820588</v>
      </c>
      <c r="B40" s="871">
        <v>1540</v>
      </c>
      <c r="C40" s="870" t="s">
        <v>133</v>
      </c>
      <c r="D40" s="249"/>
      <c r="E40" s="239"/>
      <c r="F40" s="248"/>
      <c r="G40" s="315"/>
      <c r="H40" s="367"/>
      <c r="I40" s="418"/>
      <c r="J40" s="367">
        <v>220</v>
      </c>
      <c r="K40" s="418">
        <f t="shared" si="5"/>
        <v>0</v>
      </c>
      <c r="L40" s="413">
        <v>231</v>
      </c>
      <c r="M40" s="418">
        <f t="shared" si="1"/>
        <v>0</v>
      </c>
      <c r="N40" s="413">
        <v>242</v>
      </c>
      <c r="O40" s="418">
        <f t="shared" si="2"/>
        <v>0</v>
      </c>
      <c r="P40" s="413">
        <v>253</v>
      </c>
      <c r="Q40" s="418">
        <f t="shared" si="3"/>
        <v>0</v>
      </c>
      <c r="R40" s="413">
        <v>275</v>
      </c>
      <c r="S40" s="418">
        <f t="shared" si="4"/>
        <v>0</v>
      </c>
      <c r="T40" s="812">
        <v>155</v>
      </c>
      <c r="U40" s="878">
        <v>0</v>
      </c>
      <c r="V40" s="879"/>
      <c r="W40" s="301">
        <v>415</v>
      </c>
      <c r="X40" s="584"/>
      <c r="Y40" s="856">
        <v>12</v>
      </c>
      <c r="Z40" s="108"/>
      <c r="AA40" s="541" t="s">
        <v>123</v>
      </c>
      <c r="AB40" s="537">
        <v>44193</v>
      </c>
      <c r="AC40" s="537">
        <v>46018</v>
      </c>
      <c r="AD40" s="769" t="s">
        <v>124</v>
      </c>
      <c r="AE40" s="861" t="s">
        <v>67</v>
      </c>
      <c r="AF40" s="700"/>
      <c r="AG40" s="700"/>
      <c r="AH40" s="108" t="s">
        <v>132</v>
      </c>
      <c r="AI40" s="117"/>
      <c r="AJ40" s="1010" t="s">
        <v>130</v>
      </c>
      <c r="AK40" s="860"/>
      <c r="AL40" s="553"/>
      <c r="AM40" s="856"/>
      <c r="AN40" s="108"/>
      <c r="AO40" s="108"/>
      <c r="AP40" s="864"/>
      <c r="AQ40" s="108"/>
      <c r="AR40" s="865"/>
      <c r="AS40" s="860"/>
      <c r="AU40" s="502"/>
      <c r="AV40" s="502"/>
      <c r="AW40" s="502"/>
      <c r="AX40" s="503"/>
      <c r="AY40" s="504"/>
      <c r="AZ40" s="857"/>
      <c r="BA40" s="857"/>
      <c r="BB40" s="857"/>
      <c r="BC40" s="108"/>
      <c r="BD40" s="534"/>
      <c r="BF40" s="447"/>
    </row>
    <row r="41" spans="1:58" s="42" customFormat="1" ht="36" hidden="1" customHeight="1">
      <c r="A41" s="468">
        <v>4627101820618</v>
      </c>
      <c r="B41" s="871">
        <v>1542</v>
      </c>
      <c r="C41" s="870" t="s">
        <v>134</v>
      </c>
      <c r="D41" s="249"/>
      <c r="E41" s="239"/>
      <c r="F41" s="248"/>
      <c r="G41" s="315"/>
      <c r="H41" s="367"/>
      <c r="I41" s="418"/>
      <c r="J41" s="367">
        <v>220</v>
      </c>
      <c r="K41" s="418">
        <f t="shared" si="5"/>
        <v>0</v>
      </c>
      <c r="L41" s="413">
        <v>231</v>
      </c>
      <c r="M41" s="418">
        <f t="shared" si="1"/>
        <v>0</v>
      </c>
      <c r="N41" s="413">
        <v>242</v>
      </c>
      <c r="O41" s="418">
        <f t="shared" si="2"/>
        <v>0</v>
      </c>
      <c r="P41" s="413">
        <v>253</v>
      </c>
      <c r="Q41" s="418">
        <f t="shared" si="3"/>
        <v>0</v>
      </c>
      <c r="R41" s="413">
        <v>275</v>
      </c>
      <c r="S41" s="418">
        <f t="shared" si="4"/>
        <v>0</v>
      </c>
      <c r="T41" s="812">
        <v>155</v>
      </c>
      <c r="U41" s="878">
        <v>0</v>
      </c>
      <c r="V41" s="879"/>
      <c r="W41" s="301">
        <v>415</v>
      </c>
      <c r="X41" s="584"/>
      <c r="Y41" s="856">
        <v>12</v>
      </c>
      <c r="Z41" s="108"/>
      <c r="AA41" s="541" t="s">
        <v>123</v>
      </c>
      <c r="AB41" s="537">
        <v>44193</v>
      </c>
      <c r="AC41" s="537">
        <v>46018</v>
      </c>
      <c r="AD41" s="769" t="s">
        <v>124</v>
      </c>
      <c r="AE41" s="861" t="s">
        <v>67</v>
      </c>
      <c r="AF41" s="700"/>
      <c r="AG41" s="700"/>
      <c r="AH41" s="108" t="s">
        <v>132</v>
      </c>
      <c r="AI41" s="117"/>
      <c r="AJ41" s="1010" t="s">
        <v>130</v>
      </c>
      <c r="AK41" s="860"/>
      <c r="AL41" s="553"/>
      <c r="AM41" s="856"/>
      <c r="AN41" s="108"/>
      <c r="AO41" s="108"/>
      <c r="AP41" s="864"/>
      <c r="AQ41" s="108"/>
      <c r="AR41" s="865"/>
      <c r="AS41" s="860"/>
      <c r="AU41" s="502"/>
      <c r="AV41" s="502"/>
      <c r="AW41" s="502"/>
      <c r="AX41" s="503"/>
      <c r="AY41" s="504"/>
      <c r="AZ41" s="857"/>
      <c r="BA41" s="857"/>
      <c r="BB41" s="857"/>
      <c r="BC41" s="108"/>
      <c r="BD41" s="534"/>
      <c r="BF41" s="447"/>
    </row>
    <row r="42" spans="1:58" s="42" customFormat="1" ht="45.75" hidden="1" customHeight="1">
      <c r="A42" s="468">
        <v>4627101820595</v>
      </c>
      <c r="B42" s="871">
        <v>1544</v>
      </c>
      <c r="C42" s="870" t="s">
        <v>135</v>
      </c>
      <c r="D42" s="249"/>
      <c r="E42" s="239"/>
      <c r="F42" s="248"/>
      <c r="G42" s="315"/>
      <c r="H42" s="367"/>
      <c r="I42" s="418"/>
      <c r="J42" s="367">
        <v>220</v>
      </c>
      <c r="K42" s="418">
        <f t="shared" si="5"/>
        <v>0</v>
      </c>
      <c r="L42" s="413">
        <v>231</v>
      </c>
      <c r="M42" s="418">
        <f t="shared" si="1"/>
        <v>0</v>
      </c>
      <c r="N42" s="413">
        <v>242</v>
      </c>
      <c r="O42" s="418">
        <f t="shared" si="2"/>
        <v>0</v>
      </c>
      <c r="P42" s="413">
        <v>253</v>
      </c>
      <c r="Q42" s="418">
        <f t="shared" si="3"/>
        <v>0</v>
      </c>
      <c r="R42" s="413">
        <v>275</v>
      </c>
      <c r="S42" s="418">
        <f t="shared" si="4"/>
        <v>0</v>
      </c>
      <c r="T42" s="812">
        <v>155</v>
      </c>
      <c r="U42" s="878">
        <v>0</v>
      </c>
      <c r="V42" s="879"/>
      <c r="W42" s="301">
        <v>415</v>
      </c>
      <c r="X42" s="584"/>
      <c r="Y42" s="856">
        <v>12</v>
      </c>
      <c r="Z42" s="108"/>
      <c r="AA42" s="541" t="s">
        <v>123</v>
      </c>
      <c r="AB42" s="537">
        <v>44193</v>
      </c>
      <c r="AC42" s="537">
        <v>46018</v>
      </c>
      <c r="AD42" s="769" t="s">
        <v>124</v>
      </c>
      <c r="AE42" s="861" t="s">
        <v>67</v>
      </c>
      <c r="AF42" s="700"/>
      <c r="AG42" s="700"/>
      <c r="AH42" s="108" t="s">
        <v>132</v>
      </c>
      <c r="AI42" s="117"/>
      <c r="AJ42" s="1010" t="s">
        <v>130</v>
      </c>
      <c r="AK42" s="860"/>
      <c r="AL42" s="553"/>
      <c r="AM42" s="856"/>
      <c r="AN42" s="108"/>
      <c r="AO42" s="108"/>
      <c r="AP42" s="864"/>
      <c r="AQ42" s="108"/>
      <c r="AR42" s="865"/>
      <c r="AS42" s="860"/>
      <c r="AU42" s="502"/>
      <c r="AV42" s="502"/>
      <c r="AW42" s="502"/>
      <c r="AX42" s="503"/>
      <c r="AY42" s="504"/>
      <c r="AZ42" s="857"/>
      <c r="BA42" s="857"/>
      <c r="BB42" s="857"/>
      <c r="BC42" s="108"/>
      <c r="BD42" s="534"/>
      <c r="BF42" s="447"/>
    </row>
    <row r="43" spans="1:58" s="42" customFormat="1" ht="54.75" hidden="1" customHeight="1">
      <c r="A43" s="468">
        <v>4627101820601</v>
      </c>
      <c r="B43" s="871">
        <v>1546</v>
      </c>
      <c r="C43" s="870" t="s">
        <v>136</v>
      </c>
      <c r="D43" s="249"/>
      <c r="E43" s="239"/>
      <c r="F43" s="248"/>
      <c r="G43" s="315"/>
      <c r="H43" s="367"/>
      <c r="I43" s="418"/>
      <c r="J43" s="367">
        <v>220</v>
      </c>
      <c r="K43" s="418">
        <f t="shared" si="5"/>
        <v>0</v>
      </c>
      <c r="L43" s="413">
        <v>231</v>
      </c>
      <c r="M43" s="418">
        <f t="shared" si="1"/>
        <v>0</v>
      </c>
      <c r="N43" s="413">
        <v>242</v>
      </c>
      <c r="O43" s="418">
        <f t="shared" si="2"/>
        <v>0</v>
      </c>
      <c r="P43" s="413">
        <v>253</v>
      </c>
      <c r="Q43" s="418">
        <f t="shared" si="3"/>
        <v>0</v>
      </c>
      <c r="R43" s="413">
        <v>275</v>
      </c>
      <c r="S43" s="418">
        <f t="shared" si="4"/>
        <v>0</v>
      </c>
      <c r="T43" s="812">
        <v>155</v>
      </c>
      <c r="U43" s="878">
        <v>0</v>
      </c>
      <c r="V43" s="879"/>
      <c r="W43" s="301">
        <v>415</v>
      </c>
      <c r="X43" s="584"/>
      <c r="Y43" s="856">
        <v>12</v>
      </c>
      <c r="Z43" s="108"/>
      <c r="AA43" s="541" t="s">
        <v>123</v>
      </c>
      <c r="AB43" s="537">
        <v>44193</v>
      </c>
      <c r="AC43" s="537">
        <v>46018</v>
      </c>
      <c r="AD43" s="769" t="s">
        <v>124</v>
      </c>
      <c r="AE43" s="861" t="s">
        <v>67</v>
      </c>
      <c r="AF43" s="700"/>
      <c r="AG43" s="700"/>
      <c r="AH43" s="108" t="s">
        <v>132</v>
      </c>
      <c r="AI43" s="117"/>
      <c r="AJ43" s="1010" t="s">
        <v>130</v>
      </c>
      <c r="AK43" s="860"/>
      <c r="AL43" s="553"/>
      <c r="AM43" s="856"/>
      <c r="AN43" s="108"/>
      <c r="AO43" s="108"/>
      <c r="AP43" s="864"/>
      <c r="AQ43" s="108"/>
      <c r="AR43" s="865"/>
      <c r="AS43" s="860"/>
      <c r="AU43" s="502"/>
      <c r="AV43" s="502"/>
      <c r="AW43" s="502"/>
      <c r="AX43" s="503"/>
      <c r="AY43" s="504"/>
      <c r="AZ43" s="857"/>
      <c r="BA43" s="857"/>
      <c r="BB43" s="857"/>
      <c r="BC43" s="108"/>
      <c r="BD43" s="534"/>
      <c r="BF43" s="447"/>
    </row>
    <row r="44" spans="1:58" s="42" customFormat="1" ht="48" hidden="1" customHeight="1">
      <c r="A44" s="872" t="s">
        <v>137</v>
      </c>
      <c r="B44" s="871">
        <v>3993</v>
      </c>
      <c r="C44" s="376" t="s">
        <v>138</v>
      </c>
      <c r="D44" s="248"/>
      <c r="E44" s="111"/>
      <c r="F44" s="248"/>
      <c r="G44" s="880"/>
      <c r="H44" s="315"/>
      <c r="I44" s="418"/>
      <c r="J44" s="315">
        <v>115</v>
      </c>
      <c r="K44" s="418">
        <f t="shared" si="5"/>
        <v>0</v>
      </c>
      <c r="L44" s="315">
        <v>121</v>
      </c>
      <c r="M44" s="418">
        <f t="shared" si="1"/>
        <v>0</v>
      </c>
      <c r="N44" s="315">
        <v>127</v>
      </c>
      <c r="O44" s="418">
        <f t="shared" si="2"/>
        <v>0</v>
      </c>
      <c r="P44" s="315">
        <v>132</v>
      </c>
      <c r="Q44" s="418">
        <f t="shared" si="3"/>
        <v>0</v>
      </c>
      <c r="R44" s="315">
        <v>144</v>
      </c>
      <c r="S44" s="418">
        <f t="shared" si="4"/>
        <v>0</v>
      </c>
      <c r="T44" s="812">
        <v>25</v>
      </c>
      <c r="U44" s="812">
        <v>0</v>
      </c>
      <c r="V44" s="881"/>
      <c r="W44" s="301">
        <v>220</v>
      </c>
      <c r="X44" s="584"/>
      <c r="Y44" s="856">
        <v>12</v>
      </c>
      <c r="Z44" s="108"/>
      <c r="AA44" s="541" t="s">
        <v>139</v>
      </c>
      <c r="AB44" s="537">
        <v>45118</v>
      </c>
      <c r="AC44" s="537">
        <v>47673</v>
      </c>
      <c r="AD44" s="769" t="s">
        <v>140</v>
      </c>
      <c r="AE44" s="861" t="s">
        <v>141</v>
      </c>
      <c r="AF44" s="700"/>
      <c r="AG44" s="700"/>
      <c r="AH44" s="108"/>
      <c r="AI44" s="117"/>
      <c r="AJ44" s="1010" t="s">
        <v>142</v>
      </c>
      <c r="AK44" s="860"/>
      <c r="AL44" s="553"/>
      <c r="AM44" s="856"/>
      <c r="AN44" s="108"/>
      <c r="AO44" s="108"/>
      <c r="AP44" s="864"/>
      <c r="AQ44" s="108"/>
      <c r="AR44" s="865"/>
      <c r="AS44" s="860"/>
      <c r="AU44" s="502"/>
      <c r="AV44" s="502"/>
      <c r="AW44" s="502"/>
      <c r="AX44" s="503"/>
      <c r="AY44" s="504"/>
      <c r="AZ44" s="857"/>
      <c r="BA44" s="857"/>
      <c r="BB44" s="857"/>
      <c r="BC44" s="108"/>
      <c r="BD44" s="534"/>
      <c r="BF44" s="447"/>
    </row>
    <row r="45" spans="1:58" s="42" customFormat="1" ht="58.5" hidden="1" customHeight="1">
      <c r="A45" s="872" t="s">
        <v>143</v>
      </c>
      <c r="B45" s="871">
        <v>3995</v>
      </c>
      <c r="C45" s="376" t="s">
        <v>144</v>
      </c>
      <c r="D45" s="248"/>
      <c r="E45" s="111"/>
      <c r="F45" s="248"/>
      <c r="G45" s="880"/>
      <c r="H45" s="315"/>
      <c r="I45" s="418"/>
      <c r="J45" s="315">
        <v>115</v>
      </c>
      <c r="K45" s="418">
        <f t="shared" si="5"/>
        <v>0</v>
      </c>
      <c r="L45" s="315">
        <v>121</v>
      </c>
      <c r="M45" s="418">
        <f t="shared" si="1"/>
        <v>0</v>
      </c>
      <c r="N45" s="315">
        <v>127</v>
      </c>
      <c r="O45" s="418">
        <f t="shared" si="2"/>
        <v>0</v>
      </c>
      <c r="P45" s="315">
        <v>132</v>
      </c>
      <c r="Q45" s="418">
        <f t="shared" si="3"/>
        <v>0</v>
      </c>
      <c r="R45" s="315">
        <v>144</v>
      </c>
      <c r="S45" s="418">
        <f t="shared" si="4"/>
        <v>0</v>
      </c>
      <c r="T45" s="812">
        <v>25</v>
      </c>
      <c r="U45" s="812">
        <v>0</v>
      </c>
      <c r="V45" s="881"/>
      <c r="W45" s="301">
        <v>220</v>
      </c>
      <c r="X45" s="584"/>
      <c r="Y45" s="856">
        <v>12</v>
      </c>
      <c r="Z45" s="108"/>
      <c r="AA45" s="541" t="s">
        <v>139</v>
      </c>
      <c r="AB45" s="537">
        <v>45118</v>
      </c>
      <c r="AC45" s="537">
        <v>47673</v>
      </c>
      <c r="AD45" s="769" t="s">
        <v>140</v>
      </c>
      <c r="AE45" s="861" t="s">
        <v>141</v>
      </c>
      <c r="AF45" s="700"/>
      <c r="AG45" s="700"/>
      <c r="AH45" s="108"/>
      <c r="AI45" s="117"/>
      <c r="AJ45" s="1010" t="s">
        <v>142</v>
      </c>
      <c r="AK45" s="860"/>
      <c r="AL45" s="553"/>
      <c r="AM45" s="856"/>
      <c r="AN45" s="108"/>
      <c r="AO45" s="108"/>
      <c r="AP45" s="864"/>
      <c r="AQ45" s="108"/>
      <c r="AR45" s="865"/>
      <c r="AS45" s="860"/>
      <c r="AU45" s="502"/>
      <c r="AV45" s="502"/>
      <c r="AW45" s="502"/>
      <c r="AX45" s="503"/>
      <c r="AY45" s="504"/>
      <c r="AZ45" s="857"/>
      <c r="BA45" s="857"/>
      <c r="BB45" s="857"/>
      <c r="BC45" s="108"/>
      <c r="BD45" s="534"/>
      <c r="BF45" s="447"/>
    </row>
    <row r="46" spans="1:58" s="42" customFormat="1" ht="58.5" hidden="1" customHeight="1">
      <c r="A46" s="872" t="s">
        <v>145</v>
      </c>
      <c r="B46" s="871">
        <v>3996</v>
      </c>
      <c r="C46" s="376" t="s">
        <v>146</v>
      </c>
      <c r="D46" s="248"/>
      <c r="E46" s="111"/>
      <c r="F46" s="248"/>
      <c r="G46" s="880"/>
      <c r="H46" s="315"/>
      <c r="I46" s="418"/>
      <c r="J46" s="315">
        <v>115</v>
      </c>
      <c r="K46" s="418">
        <f t="shared" si="5"/>
        <v>0</v>
      </c>
      <c r="L46" s="315">
        <v>121</v>
      </c>
      <c r="M46" s="418">
        <f t="shared" si="1"/>
        <v>0</v>
      </c>
      <c r="N46" s="315">
        <v>127</v>
      </c>
      <c r="O46" s="418">
        <f t="shared" si="2"/>
        <v>0</v>
      </c>
      <c r="P46" s="315">
        <v>132</v>
      </c>
      <c r="Q46" s="418">
        <f t="shared" si="3"/>
        <v>0</v>
      </c>
      <c r="R46" s="315">
        <v>144</v>
      </c>
      <c r="S46" s="418">
        <f t="shared" si="4"/>
        <v>0</v>
      </c>
      <c r="T46" s="812">
        <v>25</v>
      </c>
      <c r="U46" s="812">
        <v>0</v>
      </c>
      <c r="V46" s="881"/>
      <c r="W46" s="301">
        <v>220</v>
      </c>
      <c r="X46" s="584"/>
      <c r="Y46" s="856">
        <v>12</v>
      </c>
      <c r="Z46" s="108"/>
      <c r="AA46" s="541" t="s">
        <v>139</v>
      </c>
      <c r="AB46" s="537">
        <v>45118</v>
      </c>
      <c r="AC46" s="537">
        <v>47673</v>
      </c>
      <c r="AD46" s="769" t="s">
        <v>140</v>
      </c>
      <c r="AE46" s="861" t="s">
        <v>141</v>
      </c>
      <c r="AF46" s="700"/>
      <c r="AG46" s="700"/>
      <c r="AH46" s="108"/>
      <c r="AI46" s="117"/>
      <c r="AJ46" s="1010" t="s">
        <v>142</v>
      </c>
      <c r="AK46" s="860"/>
      <c r="AL46" s="553"/>
      <c r="AM46" s="856"/>
      <c r="AN46" s="108"/>
      <c r="AO46" s="108"/>
      <c r="AP46" s="864"/>
      <c r="AQ46" s="108"/>
      <c r="AR46" s="865"/>
      <c r="AS46" s="860"/>
      <c r="AU46" s="502"/>
      <c r="AV46" s="502"/>
      <c r="AW46" s="502"/>
      <c r="AX46" s="503"/>
      <c r="AY46" s="504"/>
      <c r="AZ46" s="857"/>
      <c r="BA46" s="857"/>
      <c r="BB46" s="857"/>
      <c r="BC46" s="108"/>
      <c r="BD46" s="534"/>
      <c r="BF46" s="447"/>
    </row>
    <row r="47" spans="1:58" s="42" customFormat="1" ht="53.25" hidden="1" customHeight="1">
      <c r="A47" s="872" t="s">
        <v>147</v>
      </c>
      <c r="B47" s="871">
        <v>3994</v>
      </c>
      <c r="C47" s="376" t="s">
        <v>148</v>
      </c>
      <c r="D47" s="248"/>
      <c r="E47" s="111"/>
      <c r="F47" s="248"/>
      <c r="G47" s="880"/>
      <c r="H47" s="315"/>
      <c r="I47" s="418"/>
      <c r="J47" s="315">
        <v>115</v>
      </c>
      <c r="K47" s="418">
        <f t="shared" si="5"/>
        <v>0</v>
      </c>
      <c r="L47" s="315">
        <v>121</v>
      </c>
      <c r="M47" s="418">
        <f t="shared" si="1"/>
        <v>0</v>
      </c>
      <c r="N47" s="315">
        <v>127</v>
      </c>
      <c r="O47" s="418">
        <f t="shared" si="2"/>
        <v>0</v>
      </c>
      <c r="P47" s="315">
        <v>132</v>
      </c>
      <c r="Q47" s="418">
        <f t="shared" si="3"/>
        <v>0</v>
      </c>
      <c r="R47" s="315">
        <v>144</v>
      </c>
      <c r="S47" s="418">
        <f t="shared" si="4"/>
        <v>0</v>
      </c>
      <c r="T47" s="812">
        <v>25</v>
      </c>
      <c r="U47" s="812">
        <v>0</v>
      </c>
      <c r="V47" s="881"/>
      <c r="W47" s="301">
        <v>220</v>
      </c>
      <c r="X47" s="584"/>
      <c r="Y47" s="856">
        <v>12</v>
      </c>
      <c r="Z47" s="108"/>
      <c r="AA47" s="541" t="s">
        <v>139</v>
      </c>
      <c r="AB47" s="537">
        <v>45118</v>
      </c>
      <c r="AC47" s="537">
        <v>47673</v>
      </c>
      <c r="AD47" s="769" t="s">
        <v>140</v>
      </c>
      <c r="AE47" s="861" t="s">
        <v>141</v>
      </c>
      <c r="AF47" s="700"/>
      <c r="AG47" s="700"/>
      <c r="AH47" s="108"/>
      <c r="AI47" s="117"/>
      <c r="AJ47" s="1010" t="s">
        <v>142</v>
      </c>
      <c r="AK47" s="860"/>
      <c r="AL47" s="553"/>
      <c r="AM47" s="856"/>
      <c r="AN47" s="108"/>
      <c r="AO47" s="108"/>
      <c r="AP47" s="864"/>
      <c r="AQ47" s="108"/>
      <c r="AR47" s="865"/>
      <c r="AS47" s="860"/>
      <c r="AU47" s="502"/>
      <c r="AV47" s="502"/>
      <c r="AW47" s="502"/>
      <c r="AX47" s="503"/>
      <c r="AY47" s="504"/>
      <c r="AZ47" s="857"/>
      <c r="BA47" s="857"/>
      <c r="BB47" s="857"/>
      <c r="BC47" s="108"/>
      <c r="BD47" s="534"/>
      <c r="BF47" s="447"/>
    </row>
    <row r="48" spans="1:58" s="42" customFormat="1" ht="55.5" hidden="1" customHeight="1">
      <c r="A48" s="116">
        <v>4627186340247</v>
      </c>
      <c r="B48" s="100">
        <v>3414</v>
      </c>
      <c r="C48" s="251" t="s">
        <v>149</v>
      </c>
      <c r="D48" s="824"/>
      <c r="E48" s="110"/>
      <c r="F48" s="248"/>
      <c r="G48" s="128"/>
      <c r="H48" s="128"/>
      <c r="I48" s="128"/>
      <c r="J48" s="884">
        <v>75</v>
      </c>
      <c r="K48" s="884">
        <f t="shared" si="5"/>
        <v>0</v>
      </c>
      <c r="L48" s="418">
        <v>79</v>
      </c>
      <c r="M48" s="884">
        <f t="shared" si="1"/>
        <v>0</v>
      </c>
      <c r="N48" s="418">
        <v>83</v>
      </c>
      <c r="O48" s="884">
        <f t="shared" si="2"/>
        <v>0</v>
      </c>
      <c r="P48" s="418">
        <v>86</v>
      </c>
      <c r="Q48" s="884">
        <f t="shared" si="3"/>
        <v>0</v>
      </c>
      <c r="R48" s="418">
        <v>94</v>
      </c>
      <c r="S48" s="884">
        <f t="shared" si="4"/>
        <v>0</v>
      </c>
      <c r="T48" s="885"/>
      <c r="U48" s="886"/>
      <c r="V48" s="886"/>
      <c r="W48" s="855"/>
      <c r="X48" s="584"/>
      <c r="Y48" s="856"/>
      <c r="Z48" s="108"/>
      <c r="AA48" s="863"/>
      <c r="AB48" s="858"/>
      <c r="AC48" s="858"/>
      <c r="AD48" s="861"/>
      <c r="AE48" s="861"/>
      <c r="AF48" s="700"/>
      <c r="AG48" s="700"/>
      <c r="AH48" s="108" t="s">
        <v>150</v>
      </c>
      <c r="AI48" s="117"/>
      <c r="AJ48" s="108" t="s">
        <v>151</v>
      </c>
      <c r="AK48" s="860"/>
      <c r="AL48" s="553"/>
      <c r="AM48" s="856"/>
      <c r="AN48" s="108"/>
      <c r="AO48" s="108"/>
      <c r="AP48" s="864"/>
      <c r="AQ48" s="108"/>
      <c r="AR48" s="865"/>
      <c r="AS48" s="860"/>
      <c r="AU48" s="502"/>
      <c r="AV48" s="502"/>
      <c r="AW48" s="502"/>
      <c r="AX48" s="503"/>
      <c r="AY48" s="504"/>
      <c r="AZ48" s="857"/>
      <c r="BA48" s="857"/>
      <c r="BB48" s="857"/>
      <c r="BC48" s="108"/>
      <c r="BD48" s="534"/>
      <c r="BF48" s="447"/>
    </row>
    <row r="49" spans="1:58" s="42" customFormat="1" ht="41.25" hidden="1" customHeight="1">
      <c r="A49" s="116">
        <v>4627186340988</v>
      </c>
      <c r="B49" s="100">
        <v>3684</v>
      </c>
      <c r="C49" s="251" t="s">
        <v>152</v>
      </c>
      <c r="D49" s="824"/>
      <c r="E49" s="110"/>
      <c r="F49" s="248"/>
      <c r="G49" s="128"/>
      <c r="H49" s="128"/>
      <c r="I49" s="128"/>
      <c r="J49" s="884">
        <v>75</v>
      </c>
      <c r="K49" s="884">
        <f t="shared" si="5"/>
        <v>0</v>
      </c>
      <c r="L49" s="418">
        <v>79</v>
      </c>
      <c r="M49" s="884">
        <f t="shared" si="1"/>
        <v>0</v>
      </c>
      <c r="N49" s="418">
        <v>83</v>
      </c>
      <c r="O49" s="884">
        <f t="shared" si="2"/>
        <v>0</v>
      </c>
      <c r="P49" s="418">
        <v>86</v>
      </c>
      <c r="Q49" s="884">
        <f t="shared" si="3"/>
        <v>0</v>
      </c>
      <c r="R49" s="418">
        <v>94</v>
      </c>
      <c r="S49" s="884">
        <f t="shared" si="4"/>
        <v>0</v>
      </c>
      <c r="T49" s="885"/>
      <c r="U49" s="886"/>
      <c r="V49" s="886"/>
      <c r="W49" s="855"/>
      <c r="X49" s="584"/>
      <c r="Y49" s="856"/>
      <c r="Z49" s="108"/>
      <c r="AA49" s="863"/>
      <c r="AB49" s="858"/>
      <c r="AC49" s="858"/>
      <c r="AD49" s="861"/>
      <c r="AE49" s="861"/>
      <c r="AF49" s="700"/>
      <c r="AG49" s="700"/>
      <c r="AH49" s="108" t="s">
        <v>150</v>
      </c>
      <c r="AI49" s="117"/>
      <c r="AJ49" s="108" t="s">
        <v>151</v>
      </c>
      <c r="AK49" s="860"/>
      <c r="AL49" s="553"/>
      <c r="AM49" s="856"/>
      <c r="AN49" s="108"/>
      <c r="AO49" s="108"/>
      <c r="AP49" s="864"/>
      <c r="AQ49" s="108"/>
      <c r="AR49" s="865"/>
      <c r="AS49" s="860"/>
      <c r="AU49" s="502"/>
      <c r="AV49" s="502"/>
      <c r="AW49" s="502"/>
      <c r="AX49" s="503"/>
      <c r="AY49" s="504"/>
      <c r="AZ49" s="857"/>
      <c r="BA49" s="857"/>
      <c r="BB49" s="857"/>
      <c r="BC49" s="108"/>
      <c r="BD49" s="534"/>
      <c r="BF49" s="447"/>
    </row>
    <row r="50" spans="1:58" s="42" customFormat="1" ht="53.25" hidden="1" customHeight="1">
      <c r="A50" s="116">
        <v>4627186344733</v>
      </c>
      <c r="B50" s="100">
        <v>4557</v>
      </c>
      <c r="C50" s="251" t="s">
        <v>153</v>
      </c>
      <c r="D50" s="824"/>
      <c r="E50" s="110"/>
      <c r="F50" s="248"/>
      <c r="G50" s="133"/>
      <c r="H50" s="133"/>
      <c r="I50" s="133"/>
      <c r="J50" s="111">
        <v>50</v>
      </c>
      <c r="K50" s="111">
        <f t="shared" si="5"/>
        <v>0</v>
      </c>
      <c r="L50" s="104">
        <v>53</v>
      </c>
      <c r="M50" s="111">
        <f t="shared" si="1"/>
        <v>0</v>
      </c>
      <c r="N50" s="104">
        <v>55</v>
      </c>
      <c r="O50" s="111">
        <f t="shared" si="2"/>
        <v>0</v>
      </c>
      <c r="P50" s="104">
        <v>58</v>
      </c>
      <c r="Q50" s="111">
        <f t="shared" si="3"/>
        <v>0</v>
      </c>
      <c r="R50" s="104">
        <v>63</v>
      </c>
      <c r="S50" s="111">
        <f t="shared" si="4"/>
        <v>0</v>
      </c>
      <c r="T50" s="866"/>
      <c r="U50" s="867"/>
      <c r="V50" s="867"/>
      <c r="W50" s="855"/>
      <c r="X50" s="584"/>
      <c r="Y50" s="856"/>
      <c r="Z50" s="108"/>
      <c r="AA50" s="863"/>
      <c r="AB50" s="858"/>
      <c r="AC50" s="858"/>
      <c r="AD50" s="861"/>
      <c r="AE50" s="861"/>
      <c r="AF50" s="700"/>
      <c r="AG50" s="700"/>
      <c r="AH50" s="108" t="s">
        <v>150</v>
      </c>
      <c r="AI50" s="117"/>
      <c r="AJ50" s="108" t="s">
        <v>151</v>
      </c>
      <c r="AK50" s="860"/>
      <c r="AL50" s="553"/>
      <c r="AM50" s="856"/>
      <c r="AN50" s="108"/>
      <c r="AO50" s="108"/>
      <c r="AP50" s="864"/>
      <c r="AQ50" s="108"/>
      <c r="AR50" s="865"/>
      <c r="AS50" s="860"/>
      <c r="AU50" s="502"/>
      <c r="AV50" s="502"/>
      <c r="AW50" s="502"/>
      <c r="AX50" s="503"/>
      <c r="AY50" s="504"/>
      <c r="AZ50" s="857"/>
      <c r="BA50" s="857"/>
      <c r="BB50" s="857"/>
      <c r="BC50" s="108"/>
      <c r="BD50" s="534"/>
      <c r="BF50" s="447"/>
    </row>
    <row r="51" spans="1:58" s="42" customFormat="1" ht="46.5" hidden="1" customHeight="1">
      <c r="A51" s="887" t="s">
        <v>154</v>
      </c>
      <c r="B51" s="120">
        <v>4558</v>
      </c>
      <c r="C51" s="251" t="s">
        <v>155</v>
      </c>
      <c r="D51" s="824"/>
      <c r="E51" s="110"/>
      <c r="F51" s="248"/>
      <c r="G51" s="133"/>
      <c r="H51" s="133"/>
      <c r="I51" s="133"/>
      <c r="J51" s="111">
        <v>50</v>
      </c>
      <c r="K51" s="111">
        <f t="shared" si="5"/>
        <v>0</v>
      </c>
      <c r="L51" s="104">
        <v>53</v>
      </c>
      <c r="M51" s="111">
        <f t="shared" si="1"/>
        <v>0</v>
      </c>
      <c r="N51" s="104">
        <v>55</v>
      </c>
      <c r="O51" s="111">
        <f t="shared" si="2"/>
        <v>0</v>
      </c>
      <c r="P51" s="104">
        <v>58</v>
      </c>
      <c r="Q51" s="111">
        <f t="shared" si="3"/>
        <v>0</v>
      </c>
      <c r="R51" s="104">
        <v>63</v>
      </c>
      <c r="S51" s="111">
        <f t="shared" si="4"/>
        <v>0</v>
      </c>
      <c r="T51" s="866"/>
      <c r="U51" s="867"/>
      <c r="V51" s="867"/>
      <c r="W51" s="855"/>
      <c r="X51" s="584"/>
      <c r="Y51" s="856"/>
      <c r="Z51" s="108"/>
      <c r="AA51" s="863"/>
      <c r="AB51" s="858"/>
      <c r="AC51" s="858"/>
      <c r="AD51" s="861"/>
      <c r="AE51" s="861"/>
      <c r="AF51" s="700"/>
      <c r="AG51" s="700"/>
      <c r="AH51" s="108" t="s">
        <v>150</v>
      </c>
      <c r="AI51" s="117"/>
      <c r="AJ51" s="108" t="s">
        <v>151</v>
      </c>
      <c r="AK51" s="860"/>
      <c r="AL51" s="553"/>
      <c r="AM51" s="856"/>
      <c r="AN51" s="108"/>
      <c r="AO51" s="108"/>
      <c r="AP51" s="864"/>
      <c r="AQ51" s="108"/>
      <c r="AR51" s="865"/>
      <c r="AS51" s="860"/>
      <c r="AU51" s="502"/>
      <c r="AV51" s="502"/>
      <c r="AW51" s="502"/>
      <c r="AX51" s="503"/>
      <c r="AY51" s="504"/>
      <c r="AZ51" s="857"/>
      <c r="BA51" s="857"/>
      <c r="BB51" s="857"/>
      <c r="BC51" s="108"/>
      <c r="BD51" s="534"/>
      <c r="BF51" s="447"/>
    </row>
    <row r="52" spans="1:58" s="42" customFormat="1" ht="66" hidden="1" customHeight="1">
      <c r="A52" s="887"/>
      <c r="B52" s="120"/>
      <c r="C52" s="251"/>
      <c r="D52" s="824"/>
      <c r="E52" s="110"/>
      <c r="F52" s="248"/>
      <c r="G52" s="133"/>
      <c r="H52" s="133"/>
      <c r="I52" s="133"/>
      <c r="J52" s="111"/>
      <c r="K52" s="111"/>
      <c r="L52" s="104"/>
      <c r="M52" s="111"/>
      <c r="N52" s="104"/>
      <c r="O52" s="111"/>
      <c r="P52" s="104"/>
      <c r="Q52" s="111"/>
      <c r="R52" s="104"/>
      <c r="S52" s="111"/>
      <c r="T52" s="866"/>
      <c r="U52" s="867"/>
      <c r="V52" s="867"/>
      <c r="W52" s="855"/>
      <c r="X52" s="584"/>
      <c r="Y52" s="856"/>
      <c r="Z52" s="108"/>
      <c r="AA52" s="863"/>
      <c r="AB52" s="858"/>
      <c r="AC52" s="858"/>
      <c r="AD52" s="861"/>
      <c r="AE52" s="861"/>
      <c r="AF52" s="703"/>
      <c r="AG52" s="703"/>
      <c r="AH52" s="108"/>
      <c r="AI52" s="117"/>
      <c r="AJ52" s="108"/>
      <c r="AK52" s="860"/>
      <c r="AL52" s="553"/>
      <c r="AM52" s="856"/>
      <c r="AN52" s="108"/>
      <c r="AO52" s="108"/>
      <c r="AP52" s="864"/>
      <c r="AQ52" s="108"/>
      <c r="AR52" s="865"/>
      <c r="AS52" s="860"/>
      <c r="AU52" s="502"/>
      <c r="AV52" s="502"/>
      <c r="AW52" s="502"/>
      <c r="AX52" s="503"/>
      <c r="AY52" s="504"/>
      <c r="AZ52" s="857"/>
      <c r="BA52" s="857"/>
      <c r="BB52" s="857"/>
      <c r="BC52" s="108"/>
      <c r="BD52" s="534"/>
      <c r="BF52" s="447"/>
    </row>
    <row r="53" spans="1:58" s="42" customFormat="1" ht="56.25" hidden="1" customHeight="1">
      <c r="A53" s="887"/>
      <c r="B53" s="120"/>
      <c r="C53" s="251"/>
      <c r="D53" s="824"/>
      <c r="E53" s="110"/>
      <c r="F53" s="248"/>
      <c r="G53" s="133"/>
      <c r="H53" s="133"/>
      <c r="I53" s="133"/>
      <c r="J53" s="111"/>
      <c r="K53" s="111"/>
      <c r="L53" s="104"/>
      <c r="M53" s="111"/>
      <c r="N53" s="104"/>
      <c r="O53" s="111"/>
      <c r="P53" s="104"/>
      <c r="Q53" s="111"/>
      <c r="R53" s="104"/>
      <c r="S53" s="111"/>
      <c r="T53" s="866"/>
      <c r="U53" s="867"/>
      <c r="V53" s="867"/>
      <c r="W53" s="855"/>
      <c r="X53" s="584"/>
      <c r="Y53" s="856"/>
      <c r="Z53" s="108"/>
      <c r="AA53" s="863"/>
      <c r="AB53" s="858"/>
      <c r="AC53" s="858"/>
      <c r="AD53" s="861"/>
      <c r="AE53" s="861"/>
      <c r="AF53" s="703"/>
      <c r="AG53" s="703"/>
      <c r="AH53" s="108"/>
      <c r="AI53" s="117"/>
      <c r="AJ53" s="108"/>
      <c r="AK53" s="860"/>
      <c r="AL53" s="553"/>
      <c r="AM53" s="856"/>
      <c r="AN53" s="108"/>
      <c r="AO53" s="108"/>
      <c r="AP53" s="864"/>
      <c r="AQ53" s="108"/>
      <c r="AR53" s="865"/>
      <c r="AS53" s="860"/>
      <c r="AU53" s="502"/>
      <c r="AV53" s="502"/>
      <c r="AW53" s="502"/>
      <c r="AX53" s="503"/>
      <c r="AY53" s="504"/>
      <c r="AZ53" s="857"/>
      <c r="BA53" s="857"/>
      <c r="BB53" s="857"/>
      <c r="BC53" s="108"/>
      <c r="BD53" s="534"/>
      <c r="BF53" s="447"/>
    </row>
    <row r="54" spans="1:58" s="42" customFormat="1" ht="51" hidden="1" customHeight="1">
      <c r="A54" s="862"/>
      <c r="B54" s="120"/>
      <c r="C54" s="251"/>
      <c r="D54" s="824"/>
      <c r="E54" s="110"/>
      <c r="F54" s="248"/>
      <c r="G54" s="133"/>
      <c r="H54" s="133"/>
      <c r="I54" s="133"/>
      <c r="J54" s="133"/>
      <c r="K54" s="133"/>
      <c r="L54" s="173"/>
      <c r="M54" s="133"/>
      <c r="N54" s="173"/>
      <c r="O54" s="133"/>
      <c r="P54" s="173"/>
      <c r="Q54" s="133"/>
      <c r="R54" s="173"/>
      <c r="S54" s="133"/>
      <c r="T54" s="305"/>
      <c r="U54" s="302"/>
      <c r="V54" s="302"/>
      <c r="W54" s="855"/>
      <c r="X54" s="584"/>
      <c r="Y54" s="856"/>
      <c r="Z54" s="108"/>
      <c r="AA54" s="863"/>
      <c r="AB54" s="858"/>
      <c r="AC54" s="858"/>
      <c r="AD54" s="861"/>
      <c r="AE54" s="861"/>
      <c r="AF54" s="859"/>
      <c r="AG54" s="859"/>
      <c r="AH54" s="108"/>
      <c r="AI54" s="117"/>
      <c r="AJ54" s="108"/>
      <c r="AK54" s="860"/>
      <c r="AL54" s="553"/>
      <c r="AM54" s="856"/>
      <c r="AN54" s="108"/>
      <c r="AO54" s="108"/>
      <c r="AP54" s="864"/>
      <c r="AQ54" s="108"/>
      <c r="AR54" s="865"/>
      <c r="AS54" s="860"/>
      <c r="AU54" s="502"/>
      <c r="AV54" s="502"/>
      <c r="AW54" s="502"/>
      <c r="AX54" s="503"/>
      <c r="AY54" s="504"/>
      <c r="AZ54" s="857"/>
      <c r="BA54" s="857"/>
      <c r="BB54" s="857"/>
      <c r="BC54" s="108"/>
      <c r="BD54" s="534"/>
      <c r="BF54" s="447"/>
    </row>
    <row r="55" spans="1:58" s="42" customFormat="1" ht="39.75" hidden="1" customHeight="1">
      <c r="A55" s="862"/>
      <c r="B55" s="120"/>
      <c r="C55" s="251"/>
      <c r="D55" s="824"/>
      <c r="E55" s="110"/>
      <c r="F55" s="248"/>
      <c r="G55" s="133"/>
      <c r="H55" s="133"/>
      <c r="I55" s="133"/>
      <c r="J55" s="133"/>
      <c r="K55" s="133"/>
      <c r="L55" s="173"/>
      <c r="M55" s="133"/>
      <c r="N55" s="173"/>
      <c r="O55" s="133"/>
      <c r="P55" s="173"/>
      <c r="Q55" s="133"/>
      <c r="R55" s="173"/>
      <c r="S55" s="133"/>
      <c r="T55" s="305"/>
      <c r="U55" s="302"/>
      <c r="V55" s="302"/>
      <c r="W55" s="855"/>
      <c r="X55" s="584"/>
      <c r="Y55" s="856"/>
      <c r="Z55" s="108"/>
      <c r="AA55" s="863"/>
      <c r="AB55" s="858"/>
      <c r="AC55" s="858"/>
      <c r="AD55" s="861"/>
      <c r="AE55" s="861"/>
      <c r="AF55" s="859"/>
      <c r="AG55" s="859"/>
      <c r="AH55" s="108"/>
      <c r="AI55" s="117"/>
      <c r="AJ55" s="108"/>
      <c r="AK55" s="860"/>
      <c r="AL55" s="553"/>
      <c r="AM55" s="856"/>
      <c r="AN55" s="108"/>
      <c r="AO55" s="108"/>
      <c r="AP55" s="864"/>
      <c r="AQ55" s="108"/>
      <c r="AR55" s="865"/>
      <c r="AS55" s="860"/>
      <c r="AU55" s="502"/>
      <c r="AV55" s="502"/>
      <c r="AW55" s="502"/>
      <c r="AX55" s="503"/>
      <c r="AY55" s="504"/>
      <c r="AZ55" s="857"/>
      <c r="BA55" s="857"/>
      <c r="BB55" s="857"/>
      <c r="BC55" s="108"/>
      <c r="BD55" s="534"/>
      <c r="BF55" s="447"/>
    </row>
    <row r="56" spans="1:58" s="42" customFormat="1" ht="70.5" hidden="1" customHeight="1">
      <c r="A56" s="862"/>
      <c r="B56" s="120"/>
      <c r="C56" s="251"/>
      <c r="D56" s="824"/>
      <c r="E56" s="110"/>
      <c r="F56" s="248"/>
      <c r="G56" s="133"/>
      <c r="H56" s="133"/>
      <c r="I56" s="133"/>
      <c r="J56" s="133"/>
      <c r="K56" s="133"/>
      <c r="L56" s="173"/>
      <c r="M56" s="133"/>
      <c r="N56" s="173"/>
      <c r="O56" s="133"/>
      <c r="P56" s="173"/>
      <c r="Q56" s="133"/>
      <c r="R56" s="173"/>
      <c r="S56" s="133"/>
      <c r="T56" s="305"/>
      <c r="U56" s="302"/>
      <c r="V56" s="302"/>
      <c r="W56" s="855"/>
      <c r="X56" s="584"/>
      <c r="Y56" s="856"/>
      <c r="Z56" s="108"/>
      <c r="AA56" s="863"/>
      <c r="AB56" s="858"/>
      <c r="AC56" s="858"/>
      <c r="AD56" s="861"/>
      <c r="AE56" s="861"/>
      <c r="AF56" s="859"/>
      <c r="AG56" s="859"/>
      <c r="AH56" s="108"/>
      <c r="AI56" s="117"/>
      <c r="AJ56" s="108"/>
      <c r="AK56" s="860"/>
      <c r="AL56" s="553"/>
      <c r="AM56" s="856"/>
      <c r="AN56" s="108"/>
      <c r="AO56" s="108"/>
      <c r="AP56" s="864"/>
      <c r="AQ56" s="108"/>
      <c r="AR56" s="865"/>
      <c r="AS56" s="860"/>
      <c r="AU56" s="502"/>
      <c r="AV56" s="502"/>
      <c r="AW56" s="502"/>
      <c r="AX56" s="503"/>
      <c r="AY56" s="504"/>
      <c r="AZ56" s="857"/>
      <c r="BA56" s="857"/>
      <c r="BB56" s="857"/>
      <c r="BC56" s="108"/>
      <c r="BD56" s="534"/>
      <c r="BF56" s="447"/>
    </row>
    <row r="57" spans="1:58" s="42" customFormat="1" ht="24" customHeight="1">
      <c r="A57" s="485" t="s">
        <v>156</v>
      </c>
      <c r="B57" s="274"/>
      <c r="C57" s="853" t="s">
        <v>157</v>
      </c>
      <c r="D57" s="825"/>
      <c r="E57" s="270"/>
      <c r="F57" s="491">
        <f>F58</f>
        <v>0</v>
      </c>
      <c r="G57" s="308"/>
      <c r="H57" s="309"/>
      <c r="I57" s="310"/>
      <c r="J57" s="311"/>
      <c r="K57" s="488">
        <f>K58</f>
        <v>0</v>
      </c>
      <c r="L57" s="489"/>
      <c r="M57" s="488">
        <f>M58</f>
        <v>0</v>
      </c>
      <c r="N57" s="489"/>
      <c r="O57" s="488">
        <f>O58</f>
        <v>0</v>
      </c>
      <c r="P57" s="489"/>
      <c r="Q57" s="488">
        <f>Q58</f>
        <v>0</v>
      </c>
      <c r="R57" s="489"/>
      <c r="S57" s="488">
        <f>S58</f>
        <v>0</v>
      </c>
      <c r="T57" s="313"/>
      <c r="U57" s="313">
        <f>U58</f>
        <v>0</v>
      </c>
      <c r="V57" s="293"/>
      <c r="W57" s="293"/>
      <c r="X57" s="584"/>
      <c r="Y57" s="562"/>
      <c r="Z57" s="293"/>
      <c r="AA57" s="772"/>
      <c r="AB57" s="543"/>
      <c r="AC57" s="543"/>
      <c r="AD57" s="716"/>
      <c r="AE57" s="716"/>
      <c r="AF57" s="701"/>
      <c r="AG57" s="701"/>
      <c r="AH57" s="546"/>
      <c r="AI57" s="675"/>
      <c r="AJ57" s="293"/>
      <c r="AK57" s="563"/>
      <c r="AL57" s="554"/>
      <c r="AM57" s="562"/>
      <c r="AN57" s="293"/>
      <c r="AO57" s="293"/>
      <c r="AP57" s="293"/>
      <c r="AQ57" s="293"/>
      <c r="AR57" s="293"/>
      <c r="AS57" s="563"/>
      <c r="AU57" s="293"/>
      <c r="AV57" s="293"/>
      <c r="AW57" s="293"/>
      <c r="AX57" s="293"/>
      <c r="AY57" s="293"/>
      <c r="AZ57" s="293"/>
      <c r="BA57" s="293"/>
      <c r="BB57" s="293"/>
      <c r="BC57" s="293"/>
      <c r="BD57" s="293"/>
      <c r="BF57" s="447"/>
    </row>
    <row r="58" spans="1:58" s="42" customFormat="1" ht="21" customHeight="1">
      <c r="A58" s="314" t="s">
        <v>158</v>
      </c>
      <c r="B58" s="108">
        <v>4343</v>
      </c>
      <c r="C58" s="251" t="s">
        <v>159</v>
      </c>
      <c r="D58" s="826"/>
      <c r="E58" s="110" t="s">
        <v>160</v>
      </c>
      <c r="F58" s="248"/>
      <c r="G58" s="111"/>
      <c r="H58" s="111"/>
      <c r="I58" s="239"/>
      <c r="J58" s="315">
        <v>245</v>
      </c>
      <c r="K58" s="104">
        <f>J58*F58</f>
        <v>0</v>
      </c>
      <c r="L58" s="238">
        <f>J58+J58*5%</f>
        <v>257.25</v>
      </c>
      <c r="M58" s="104">
        <f>L58*F58</f>
        <v>0</v>
      </c>
      <c r="N58" s="238">
        <f>J58+J58*10%</f>
        <v>269.5</v>
      </c>
      <c r="O58" s="104">
        <f>N58*F58</f>
        <v>0</v>
      </c>
      <c r="P58" s="238">
        <f>J58+J58*15%</f>
        <v>281.75</v>
      </c>
      <c r="Q58" s="104">
        <f>P58*F58</f>
        <v>0</v>
      </c>
      <c r="R58" s="238">
        <f>J58+J58*25%</f>
        <v>306.25</v>
      </c>
      <c r="S58" s="104">
        <f>R58*F58</f>
        <v>0</v>
      </c>
      <c r="T58" s="112">
        <v>57</v>
      </c>
      <c r="U58" s="112">
        <f>T58*F58</f>
        <v>0</v>
      </c>
      <c r="V58" s="113"/>
      <c r="W58" s="301">
        <v>465</v>
      </c>
      <c r="X58" s="584"/>
      <c r="Y58" s="567">
        <v>12</v>
      </c>
      <c r="Z58" s="189">
        <v>3</v>
      </c>
      <c r="AA58" s="541" t="s">
        <v>161</v>
      </c>
      <c r="AB58" s="537">
        <v>45086</v>
      </c>
      <c r="AC58" s="537">
        <v>47642</v>
      </c>
      <c r="AD58" s="848" t="s">
        <v>162</v>
      </c>
      <c r="AE58" s="717" t="s">
        <v>67</v>
      </c>
      <c r="AF58" s="700" t="s">
        <v>163</v>
      </c>
      <c r="AG58" s="700" t="s">
        <v>164</v>
      </c>
      <c r="AH58" s="547" t="s">
        <v>165</v>
      </c>
      <c r="AI58" s="688" t="s">
        <v>166</v>
      </c>
      <c r="AJ58" s="844" t="s">
        <v>167</v>
      </c>
      <c r="AK58" s="564">
        <v>3401300000</v>
      </c>
      <c r="AL58" s="555"/>
      <c r="AM58" s="588" t="s">
        <v>168</v>
      </c>
      <c r="AN58" s="273" t="s">
        <v>169</v>
      </c>
      <c r="AO58" s="273" t="s">
        <v>170</v>
      </c>
      <c r="AP58" s="845" t="s">
        <v>171</v>
      </c>
      <c r="AQ58" s="617"/>
      <c r="AR58" s="650"/>
      <c r="AS58" s="811" t="s">
        <v>171</v>
      </c>
      <c r="AT58" s="475"/>
      <c r="AU58" s="478"/>
      <c r="AV58" s="478"/>
      <c r="AW58" s="478"/>
      <c r="AX58" s="506"/>
      <c r="AY58" s="507"/>
      <c r="AZ58" s="478"/>
      <c r="BA58" s="478"/>
      <c r="BB58" s="478"/>
      <c r="BC58" s="478"/>
      <c r="BD58" s="483"/>
      <c r="BF58" s="447"/>
    </row>
    <row r="59" spans="1:58" s="42" customFormat="1" ht="34.5" hidden="1" customHeight="1">
      <c r="A59" s="314"/>
      <c r="B59" s="108"/>
      <c r="C59" s="251"/>
      <c r="D59" s="826">
        <v>1</v>
      </c>
      <c r="E59" s="110"/>
      <c r="F59" s="248"/>
      <c r="G59" s="111"/>
      <c r="H59" s="111"/>
      <c r="I59" s="239"/>
      <c r="J59" s="315"/>
      <c r="K59" s="104"/>
      <c r="L59" s="238"/>
      <c r="M59" s="104"/>
      <c r="N59" s="238"/>
      <c r="O59" s="104"/>
      <c r="P59" s="238"/>
      <c r="Q59" s="104"/>
      <c r="R59" s="238"/>
      <c r="S59" s="104"/>
      <c r="T59" s="112"/>
      <c r="U59" s="112"/>
      <c r="V59" s="113"/>
      <c r="W59" s="301"/>
      <c r="X59" s="584"/>
      <c r="Y59" s="566"/>
      <c r="Z59" s="477"/>
      <c r="AA59" s="773"/>
      <c r="AB59" s="540"/>
      <c r="AC59" s="540"/>
      <c r="AD59" s="508"/>
      <c r="AE59" s="712"/>
      <c r="AF59" s="700"/>
      <c r="AG59" s="700"/>
      <c r="AH59" s="513"/>
      <c r="AI59" s="478"/>
      <c r="AJ59" s="478"/>
      <c r="AK59" s="564"/>
      <c r="AL59" s="555"/>
      <c r="AM59" s="610"/>
      <c r="AN59" s="611"/>
      <c r="AO59" s="611"/>
      <c r="AP59" s="616"/>
      <c r="AQ59" s="617"/>
      <c r="AR59" s="614"/>
      <c r="AS59" s="618"/>
      <c r="AU59" s="478"/>
      <c r="AV59" s="478"/>
      <c r="AW59" s="478"/>
      <c r="AX59" s="506"/>
      <c r="AY59" s="507"/>
      <c r="AZ59" s="478"/>
      <c r="BA59" s="478"/>
      <c r="BB59" s="478"/>
      <c r="BC59" s="478"/>
      <c r="BD59" s="483"/>
      <c r="BF59" s="447"/>
    </row>
    <row r="60" spans="1:58" s="42" customFormat="1" ht="30" hidden="1" customHeight="1">
      <c r="A60" s="314"/>
      <c r="B60" s="108"/>
      <c r="C60" s="251"/>
      <c r="D60" s="826">
        <v>1</v>
      </c>
      <c r="E60" s="110"/>
      <c r="F60" s="248"/>
      <c r="G60" s="111"/>
      <c r="H60" s="111"/>
      <c r="I60" s="239"/>
      <c r="J60" s="315"/>
      <c r="K60" s="104"/>
      <c r="L60" s="238"/>
      <c r="M60" s="104"/>
      <c r="N60" s="238"/>
      <c r="O60" s="104"/>
      <c r="P60" s="238"/>
      <c r="Q60" s="104"/>
      <c r="R60" s="238"/>
      <c r="S60" s="104"/>
      <c r="T60" s="112"/>
      <c r="U60" s="112"/>
      <c r="V60" s="113"/>
      <c r="W60" s="301"/>
      <c r="X60" s="584"/>
      <c r="Y60" s="566"/>
      <c r="Z60" s="477"/>
      <c r="AA60" s="773"/>
      <c r="AB60" s="540"/>
      <c r="AC60" s="540"/>
      <c r="AD60" s="508"/>
      <c r="AE60" s="712"/>
      <c r="AF60" s="700"/>
      <c r="AG60" s="700"/>
      <c r="AH60" s="513"/>
      <c r="AI60" s="478"/>
      <c r="AJ60" s="478"/>
      <c r="AK60" s="564"/>
      <c r="AL60" s="555"/>
      <c r="AM60" s="610"/>
      <c r="AN60" s="611"/>
      <c r="AO60" s="611"/>
      <c r="AP60" s="616"/>
      <c r="AQ60" s="617"/>
      <c r="AR60" s="614"/>
      <c r="AS60" s="618"/>
      <c r="AU60" s="478"/>
      <c r="AV60" s="478"/>
      <c r="AW60" s="478"/>
      <c r="AX60" s="506"/>
      <c r="AY60" s="507"/>
      <c r="AZ60" s="478"/>
      <c r="BA60" s="478"/>
      <c r="BB60" s="478"/>
      <c r="BC60" s="478"/>
      <c r="BD60" s="483"/>
      <c r="BF60" s="447"/>
    </row>
    <row r="61" spans="1:58" s="42" customFormat="1" ht="27.75" hidden="1" customHeight="1">
      <c r="A61" s="314"/>
      <c r="B61" s="108"/>
      <c r="C61" s="251"/>
      <c r="D61" s="826">
        <v>1</v>
      </c>
      <c r="E61" s="110"/>
      <c r="F61" s="248"/>
      <c r="G61" s="111"/>
      <c r="H61" s="111"/>
      <c r="I61" s="239"/>
      <c r="J61" s="315"/>
      <c r="K61" s="104"/>
      <c r="L61" s="238"/>
      <c r="M61" s="104"/>
      <c r="N61" s="238"/>
      <c r="O61" s="104"/>
      <c r="P61" s="238"/>
      <c r="Q61" s="104"/>
      <c r="R61" s="238"/>
      <c r="S61" s="104"/>
      <c r="T61" s="112"/>
      <c r="U61" s="112"/>
      <c r="V61" s="113"/>
      <c r="W61" s="301"/>
      <c r="X61" s="584"/>
      <c r="Y61" s="566"/>
      <c r="Z61" s="477"/>
      <c r="AA61" s="773"/>
      <c r="AB61" s="540"/>
      <c r="AC61" s="540"/>
      <c r="AD61" s="508"/>
      <c r="AE61" s="712"/>
      <c r="AF61" s="700"/>
      <c r="AG61" s="700"/>
      <c r="AH61" s="513"/>
      <c r="AI61" s="478"/>
      <c r="AJ61" s="478"/>
      <c r="AK61" s="564"/>
      <c r="AL61" s="555"/>
      <c r="AM61" s="610"/>
      <c r="AN61" s="611"/>
      <c r="AO61" s="611"/>
      <c r="AP61" s="616"/>
      <c r="AQ61" s="617"/>
      <c r="AR61" s="614"/>
      <c r="AS61" s="618"/>
      <c r="AU61" s="478"/>
      <c r="AV61" s="478"/>
      <c r="AW61" s="478"/>
      <c r="AX61" s="506"/>
      <c r="AY61" s="507"/>
      <c r="AZ61" s="478"/>
      <c r="BA61" s="478"/>
      <c r="BB61" s="478"/>
      <c r="BC61" s="478"/>
      <c r="BD61" s="483"/>
      <c r="BF61" s="447"/>
    </row>
    <row r="62" spans="1:58" s="42" customFormat="1" ht="27.75" hidden="1" customHeight="1">
      <c r="A62" s="485" t="s">
        <v>156</v>
      </c>
      <c r="B62" s="274"/>
      <c r="C62" s="853" t="s">
        <v>172</v>
      </c>
      <c r="D62" s="491">
        <v>1</v>
      </c>
      <c r="E62" s="308"/>
      <c r="F62" s="309">
        <f>F63+F64+F65+F66</f>
        <v>0</v>
      </c>
      <c r="G62" s="310"/>
      <c r="H62" s="311"/>
      <c r="I62" s="488"/>
      <c r="J62" s="488"/>
      <c r="K62" s="488">
        <f>K63+K64+K65+K66</f>
        <v>0</v>
      </c>
      <c r="L62" s="489"/>
      <c r="M62" s="488">
        <f>M63+M64+M65+M66</f>
        <v>0</v>
      </c>
      <c r="N62" s="489"/>
      <c r="O62" s="488">
        <f>O63+O64+O65+O66</f>
        <v>0</v>
      </c>
      <c r="P62" s="489"/>
      <c r="Q62" s="488">
        <f>Q63+Q64+Q65+Q66</f>
        <v>0</v>
      </c>
      <c r="R62" s="489"/>
      <c r="S62" s="488">
        <f>S63+S64+S65+S66</f>
        <v>0</v>
      </c>
      <c r="T62" s="313"/>
      <c r="U62" s="313">
        <f>U63+U64+U65+U66</f>
        <v>0</v>
      </c>
      <c r="V62" s="293"/>
      <c r="W62" s="301"/>
      <c r="X62" s="584"/>
      <c r="Y62" s="566"/>
      <c r="Z62" s="477"/>
      <c r="AA62" s="773"/>
      <c r="AB62" s="540"/>
      <c r="AC62" s="540"/>
      <c r="AD62" s="508"/>
      <c r="AE62" s="712"/>
      <c r="AF62" s="700"/>
      <c r="AG62" s="700"/>
      <c r="AH62" s="513"/>
      <c r="AI62" s="478"/>
      <c r="AJ62" s="478"/>
      <c r="AK62" s="564"/>
      <c r="AL62" s="555"/>
      <c r="AM62" s="610"/>
      <c r="AN62" s="611"/>
      <c r="AO62" s="611"/>
      <c r="AP62" s="616"/>
      <c r="AQ62" s="617"/>
      <c r="AR62" s="614"/>
      <c r="AS62" s="618"/>
      <c r="AU62" s="478"/>
      <c r="AV62" s="478"/>
      <c r="AW62" s="478"/>
      <c r="AX62" s="506"/>
      <c r="AY62" s="507"/>
      <c r="AZ62" s="478"/>
      <c r="BA62" s="478"/>
      <c r="BB62" s="478"/>
      <c r="BC62" s="478"/>
      <c r="BD62" s="483"/>
      <c r="BF62" s="447"/>
    </row>
    <row r="63" spans="1:58" s="42" customFormat="1" ht="27.75" hidden="1" customHeight="1">
      <c r="A63" s="314" t="s">
        <v>173</v>
      </c>
      <c r="B63" s="108">
        <v>4591</v>
      </c>
      <c r="C63" s="251" t="s">
        <v>174</v>
      </c>
      <c r="D63" s="826"/>
      <c r="E63" s="110"/>
      <c r="F63" s="248"/>
      <c r="G63" s="111"/>
      <c r="H63" s="111"/>
      <c r="I63" s="239"/>
      <c r="J63" s="315">
        <v>430</v>
      </c>
      <c r="K63" s="104">
        <f>J63*F63</f>
        <v>0</v>
      </c>
      <c r="L63" s="238">
        <v>452</v>
      </c>
      <c r="M63" s="104">
        <f>L63*F63</f>
        <v>0</v>
      </c>
      <c r="N63" s="238">
        <v>473</v>
      </c>
      <c r="O63" s="104">
        <f>N63*F63</f>
        <v>0</v>
      </c>
      <c r="P63" s="238">
        <v>495</v>
      </c>
      <c r="Q63" s="104">
        <f>P63*F63</f>
        <v>0</v>
      </c>
      <c r="R63" s="238">
        <v>538</v>
      </c>
      <c r="S63" s="104">
        <f>R63*F63</f>
        <v>0</v>
      </c>
      <c r="T63" s="112"/>
      <c r="U63" s="112"/>
      <c r="V63" s="113"/>
      <c r="W63" s="301"/>
      <c r="X63" s="584"/>
      <c r="Y63" s="566"/>
      <c r="Z63" s="477"/>
      <c r="AA63" s="773"/>
      <c r="AB63" s="540"/>
      <c r="AC63" s="540"/>
      <c r="AD63" s="508"/>
      <c r="AE63" s="712"/>
      <c r="AF63" s="700"/>
      <c r="AG63" s="700"/>
      <c r="AH63" s="513"/>
      <c r="AI63" s="478"/>
      <c r="AJ63" s="478"/>
      <c r="AK63" s="564"/>
      <c r="AL63" s="555"/>
      <c r="AM63" s="610"/>
      <c r="AN63" s="611"/>
      <c r="AO63" s="611"/>
      <c r="AP63" s="616"/>
      <c r="AQ63" s="617"/>
      <c r="AR63" s="614"/>
      <c r="AS63" s="618"/>
      <c r="AU63" s="478"/>
      <c r="AV63" s="478"/>
      <c r="AW63" s="478"/>
      <c r="AX63" s="506"/>
      <c r="AY63" s="507"/>
      <c r="AZ63" s="478"/>
      <c r="BA63" s="478"/>
      <c r="BB63" s="478"/>
      <c r="BC63" s="478"/>
      <c r="BD63" s="483"/>
      <c r="BF63" s="447"/>
    </row>
    <row r="64" spans="1:58" s="42" customFormat="1" ht="27.75" hidden="1" customHeight="1">
      <c r="A64" s="314" t="s">
        <v>175</v>
      </c>
      <c r="B64" s="108">
        <v>4588</v>
      </c>
      <c r="C64" s="251" t="s">
        <v>176</v>
      </c>
      <c r="D64" s="826"/>
      <c r="E64" s="110"/>
      <c r="F64" s="248"/>
      <c r="G64" s="111"/>
      <c r="H64" s="111"/>
      <c r="I64" s="239"/>
      <c r="J64" s="315">
        <v>430</v>
      </c>
      <c r="K64" s="104">
        <f>J64*F64</f>
        <v>0</v>
      </c>
      <c r="L64" s="238">
        <v>452</v>
      </c>
      <c r="M64" s="104">
        <f>L64*F64</f>
        <v>0</v>
      </c>
      <c r="N64" s="238">
        <v>473</v>
      </c>
      <c r="O64" s="104">
        <f>N64*F64</f>
        <v>0</v>
      </c>
      <c r="P64" s="238">
        <v>495</v>
      </c>
      <c r="Q64" s="104">
        <f>P64*F64</f>
        <v>0</v>
      </c>
      <c r="R64" s="238">
        <v>538</v>
      </c>
      <c r="S64" s="104">
        <f>R64*F64</f>
        <v>0</v>
      </c>
      <c r="T64" s="112"/>
      <c r="U64" s="112"/>
      <c r="V64" s="113"/>
      <c r="W64" s="301"/>
      <c r="X64" s="584"/>
      <c r="Y64" s="566"/>
      <c r="Z64" s="477"/>
      <c r="AA64" s="773"/>
      <c r="AB64" s="540"/>
      <c r="AC64" s="540"/>
      <c r="AD64" s="508"/>
      <c r="AE64" s="712"/>
      <c r="AF64" s="700"/>
      <c r="AG64" s="700"/>
      <c r="AH64" s="513"/>
      <c r="AI64" s="478"/>
      <c r="AJ64" s="478"/>
      <c r="AK64" s="564"/>
      <c r="AL64" s="555"/>
      <c r="AM64" s="610"/>
      <c r="AN64" s="611"/>
      <c r="AO64" s="611"/>
      <c r="AP64" s="616"/>
      <c r="AQ64" s="617"/>
      <c r="AR64" s="614"/>
      <c r="AS64" s="618"/>
      <c r="AU64" s="478"/>
      <c r="AV64" s="478"/>
      <c r="AW64" s="478"/>
      <c r="AX64" s="506"/>
      <c r="AY64" s="507"/>
      <c r="AZ64" s="478"/>
      <c r="BA64" s="478"/>
      <c r="BB64" s="478"/>
      <c r="BC64" s="478"/>
      <c r="BD64" s="483"/>
      <c r="BF64" s="447"/>
    </row>
    <row r="65" spans="1:72" s="42" customFormat="1" ht="27.75" hidden="1" customHeight="1">
      <c r="A65" s="314" t="s">
        <v>177</v>
      </c>
      <c r="B65" s="108">
        <v>4589</v>
      </c>
      <c r="C65" s="251" t="s">
        <v>178</v>
      </c>
      <c r="D65" s="826"/>
      <c r="E65" s="110"/>
      <c r="F65" s="248"/>
      <c r="G65" s="111"/>
      <c r="H65" s="111"/>
      <c r="I65" s="239"/>
      <c r="J65" s="315">
        <v>430</v>
      </c>
      <c r="K65" s="104">
        <f>J65*F65</f>
        <v>0</v>
      </c>
      <c r="L65" s="238">
        <v>452</v>
      </c>
      <c r="M65" s="104">
        <f>L65*F65</f>
        <v>0</v>
      </c>
      <c r="N65" s="238">
        <v>473</v>
      </c>
      <c r="O65" s="104">
        <f>N65*F65</f>
        <v>0</v>
      </c>
      <c r="P65" s="238">
        <v>495</v>
      </c>
      <c r="Q65" s="104">
        <f>P65*F65</f>
        <v>0</v>
      </c>
      <c r="R65" s="238">
        <v>538</v>
      </c>
      <c r="S65" s="104">
        <f>R65*F65</f>
        <v>0</v>
      </c>
      <c r="T65" s="112"/>
      <c r="U65" s="112"/>
      <c r="V65" s="113"/>
      <c r="W65" s="301"/>
      <c r="X65" s="584"/>
      <c r="Y65" s="566"/>
      <c r="Z65" s="477"/>
      <c r="AA65" s="773"/>
      <c r="AB65" s="540"/>
      <c r="AC65" s="540"/>
      <c r="AD65" s="508"/>
      <c r="AE65" s="712"/>
      <c r="AF65" s="700"/>
      <c r="AG65" s="700"/>
      <c r="AH65" s="513"/>
      <c r="AI65" s="478"/>
      <c r="AJ65" s="478"/>
      <c r="AK65" s="564"/>
      <c r="AL65" s="555"/>
      <c r="AM65" s="610"/>
      <c r="AN65" s="611"/>
      <c r="AO65" s="611"/>
      <c r="AP65" s="616"/>
      <c r="AQ65" s="617"/>
      <c r="AR65" s="614"/>
      <c r="AS65" s="618"/>
      <c r="AU65" s="478"/>
      <c r="AV65" s="478"/>
      <c r="AW65" s="478"/>
      <c r="AX65" s="506"/>
      <c r="AY65" s="507"/>
      <c r="AZ65" s="478"/>
      <c r="BA65" s="478"/>
      <c r="BB65" s="478"/>
      <c r="BC65" s="478"/>
      <c r="BD65" s="483"/>
      <c r="BF65" s="447"/>
    </row>
    <row r="66" spans="1:72" s="42" customFormat="1" ht="27.75" hidden="1" customHeight="1">
      <c r="A66" s="314" t="s">
        <v>179</v>
      </c>
      <c r="B66" s="108">
        <v>4590</v>
      </c>
      <c r="C66" s="251" t="s">
        <v>180</v>
      </c>
      <c r="D66" s="826"/>
      <c r="E66" s="110"/>
      <c r="F66" s="248"/>
      <c r="G66" s="111"/>
      <c r="H66" s="111"/>
      <c r="I66" s="239"/>
      <c r="J66" s="315">
        <v>430</v>
      </c>
      <c r="K66" s="104">
        <f>J66*F66</f>
        <v>0</v>
      </c>
      <c r="L66" s="238">
        <v>452</v>
      </c>
      <c r="M66" s="104">
        <f>L66*F66</f>
        <v>0</v>
      </c>
      <c r="N66" s="238">
        <v>473</v>
      </c>
      <c r="O66" s="104">
        <f>N66*F66</f>
        <v>0</v>
      </c>
      <c r="P66" s="238">
        <v>495</v>
      </c>
      <c r="Q66" s="104">
        <f>P66*F66</f>
        <v>0</v>
      </c>
      <c r="R66" s="238">
        <v>538</v>
      </c>
      <c r="S66" s="104">
        <f>R66*F66</f>
        <v>0</v>
      </c>
      <c r="T66" s="112"/>
      <c r="U66" s="112"/>
      <c r="V66" s="113"/>
      <c r="W66" s="301"/>
      <c r="X66" s="584"/>
      <c r="Y66" s="566"/>
      <c r="Z66" s="477"/>
      <c r="AA66" s="773"/>
      <c r="AB66" s="540"/>
      <c r="AC66" s="540"/>
      <c r="AD66" s="508"/>
      <c r="AE66" s="712"/>
      <c r="AF66" s="700"/>
      <c r="AG66" s="700"/>
      <c r="AH66" s="513"/>
      <c r="AI66" s="478"/>
      <c r="AJ66" s="478"/>
      <c r="AK66" s="564"/>
      <c r="AL66" s="555"/>
      <c r="AM66" s="610"/>
      <c r="AN66" s="611"/>
      <c r="AO66" s="611"/>
      <c r="AP66" s="616"/>
      <c r="AQ66" s="617"/>
      <c r="AR66" s="614"/>
      <c r="AS66" s="618"/>
      <c r="AU66" s="478"/>
      <c r="AV66" s="478"/>
      <c r="AW66" s="478"/>
      <c r="AX66" s="506"/>
      <c r="AY66" s="507"/>
      <c r="AZ66" s="478"/>
      <c r="BA66" s="478"/>
      <c r="BB66" s="478"/>
      <c r="BC66" s="478"/>
      <c r="BD66" s="483"/>
      <c r="BF66" s="447"/>
    </row>
    <row r="67" spans="1:72" s="966" customFormat="1" ht="22.5" customHeight="1">
      <c r="A67" s="950"/>
      <c r="B67" s="950"/>
      <c r="C67" s="271" t="s">
        <v>181</v>
      </c>
      <c r="D67" s="826"/>
      <c r="E67" s="110"/>
      <c r="F67" s="951"/>
      <c r="G67" s="951"/>
      <c r="H67" s="951"/>
      <c r="I67" s="951"/>
      <c r="J67" s="951"/>
      <c r="K67" s="952">
        <f>K68+K69</f>
        <v>0</v>
      </c>
      <c r="L67" s="953"/>
      <c r="M67" s="952">
        <f>M68+M69</f>
        <v>0</v>
      </c>
      <c r="N67" s="953"/>
      <c r="O67" s="952">
        <f>O68+O69</f>
        <v>0</v>
      </c>
      <c r="P67" s="953"/>
      <c r="Q67" s="952">
        <f>Q68+Q69</f>
        <v>0</v>
      </c>
      <c r="R67" s="953"/>
      <c r="S67" s="952">
        <f>S68+S69</f>
        <v>0</v>
      </c>
      <c r="T67" s="953"/>
      <c r="U67" s="952">
        <f>U68+U69</f>
        <v>0</v>
      </c>
      <c r="V67" s="954"/>
      <c r="W67" s="950"/>
      <c r="X67" s="955"/>
      <c r="Y67" s="956"/>
      <c r="Z67" s="957"/>
      <c r="AA67" s="958"/>
      <c r="AB67" s="959"/>
      <c r="AC67" s="959"/>
      <c r="AD67" s="960"/>
      <c r="AE67" s="960"/>
      <c r="AF67" s="961"/>
      <c r="AG67" s="961"/>
      <c r="AH67" s="962"/>
      <c r="AI67" s="963"/>
      <c r="AJ67" s="957"/>
      <c r="AK67" s="964"/>
      <c r="AL67" s="965"/>
      <c r="AM67" s="956"/>
      <c r="AN67" s="957"/>
      <c r="AO67" s="957"/>
      <c r="AP67" s="957"/>
      <c r="AQ67" s="957"/>
      <c r="AR67" s="957"/>
      <c r="AS67" s="964"/>
      <c r="AU67" s="478"/>
      <c r="AV67" s="478"/>
      <c r="AW67" s="478"/>
      <c r="AX67" s="506"/>
      <c r="AY67" s="507"/>
      <c r="AZ67" s="478"/>
      <c r="BA67" s="478"/>
      <c r="BB67" s="478"/>
      <c r="BC67" s="478"/>
      <c r="BD67" s="483"/>
      <c r="BE67" s="42"/>
      <c r="BF67" s="447"/>
      <c r="BG67" s="42"/>
      <c r="BH67" s="42"/>
      <c r="BI67" s="42"/>
      <c r="BJ67" s="42"/>
      <c r="BK67" s="42"/>
      <c r="BL67" s="42"/>
      <c r="BM67" s="42"/>
      <c r="BN67" s="42"/>
    </row>
    <row r="68" spans="1:72" s="42" customFormat="1" ht="24" customHeight="1">
      <c r="A68" s="314" t="s">
        <v>182</v>
      </c>
      <c r="B68" s="108">
        <v>4426</v>
      </c>
      <c r="C68" s="251" t="s">
        <v>183</v>
      </c>
      <c r="D68" s="826"/>
      <c r="E68" s="110"/>
      <c r="F68" s="248"/>
      <c r="G68" s="111"/>
      <c r="H68" s="111"/>
      <c r="I68" s="239"/>
      <c r="J68" s="315">
        <v>235</v>
      </c>
      <c r="K68" s="104">
        <f>J68*F68</f>
        <v>0</v>
      </c>
      <c r="L68" s="238">
        <v>247</v>
      </c>
      <c r="M68" s="104"/>
      <c r="N68" s="238">
        <v>259</v>
      </c>
      <c r="O68" s="104"/>
      <c r="P68" s="238">
        <v>270</v>
      </c>
      <c r="Q68" s="104"/>
      <c r="R68" s="238">
        <v>294</v>
      </c>
      <c r="S68" s="104"/>
      <c r="T68" s="112">
        <v>343</v>
      </c>
      <c r="U68" s="112">
        <f t="shared" ref="U68:U69" si="6">T68*F68</f>
        <v>0</v>
      </c>
      <c r="V68" s="113"/>
      <c r="W68" s="301">
        <v>450</v>
      </c>
      <c r="X68" s="584"/>
      <c r="Y68" s="565">
        <v>18</v>
      </c>
      <c r="Z68" s="286">
        <v>3</v>
      </c>
      <c r="AA68" s="541" t="s">
        <v>184</v>
      </c>
      <c r="AB68" s="537">
        <v>45156</v>
      </c>
      <c r="AC68" s="537">
        <v>47712</v>
      </c>
      <c r="AD68" s="768" t="s">
        <v>185</v>
      </c>
      <c r="AE68" s="712" t="s">
        <v>67</v>
      </c>
      <c r="AF68" s="700" t="s">
        <v>186</v>
      </c>
      <c r="AG68" s="700" t="s">
        <v>187</v>
      </c>
      <c r="AH68" s="513" t="s">
        <v>188</v>
      </c>
      <c r="AI68" s="888" t="s">
        <v>189</v>
      </c>
      <c r="AJ68" s="888" t="s">
        <v>190</v>
      </c>
      <c r="AK68" s="568">
        <v>3304990000</v>
      </c>
      <c r="AL68" s="555"/>
      <c r="AM68" s="588" t="s">
        <v>191</v>
      </c>
      <c r="AN68" s="273" t="s">
        <v>192</v>
      </c>
      <c r="AO68" s="273" t="s">
        <v>193</v>
      </c>
      <c r="AP68" s="889" t="s">
        <v>194</v>
      </c>
      <c r="AQ68" s="890" t="s">
        <v>195</v>
      </c>
      <c r="AR68" s="509"/>
      <c r="AS68" s="891" t="s">
        <v>194</v>
      </c>
      <c r="AU68" s="478"/>
      <c r="AV68" s="478"/>
      <c r="AW68" s="478"/>
      <c r="AX68" s="506"/>
      <c r="AY68" s="507"/>
      <c r="AZ68" s="478"/>
      <c r="BA68" s="478"/>
      <c r="BB68" s="478"/>
      <c r="BC68" s="478"/>
      <c r="BD68" s="483"/>
      <c r="BF68" s="447"/>
    </row>
    <row r="69" spans="1:72" s="42" customFormat="1" ht="21.75" customHeight="1">
      <c r="A69" s="314" t="s">
        <v>196</v>
      </c>
      <c r="B69" s="108">
        <v>4427</v>
      </c>
      <c r="C69" s="251" t="s">
        <v>197</v>
      </c>
      <c r="D69" s="826"/>
      <c r="E69" s="110"/>
      <c r="F69" s="248"/>
      <c r="G69" s="111"/>
      <c r="H69" s="111"/>
      <c r="I69" s="239"/>
      <c r="J69" s="315">
        <v>250</v>
      </c>
      <c r="K69" s="104">
        <f>J69*F69</f>
        <v>0</v>
      </c>
      <c r="L69" s="238">
        <v>263</v>
      </c>
      <c r="M69" s="104"/>
      <c r="N69" s="238">
        <v>275</v>
      </c>
      <c r="O69" s="104"/>
      <c r="P69" s="238">
        <v>288</v>
      </c>
      <c r="Q69" s="104"/>
      <c r="R69" s="238">
        <v>313</v>
      </c>
      <c r="S69" s="104"/>
      <c r="T69" s="112">
        <v>347</v>
      </c>
      <c r="U69" s="112">
        <f t="shared" si="6"/>
        <v>0</v>
      </c>
      <c r="V69" s="113"/>
      <c r="W69" s="301">
        <v>475</v>
      </c>
      <c r="X69" s="584"/>
      <c r="Y69" s="565">
        <v>18</v>
      </c>
      <c r="Z69" s="286">
        <v>3</v>
      </c>
      <c r="AA69" s="541" t="s">
        <v>184</v>
      </c>
      <c r="AB69" s="537">
        <v>45156</v>
      </c>
      <c r="AC69" s="537">
        <v>47712</v>
      </c>
      <c r="AD69" s="768" t="s">
        <v>198</v>
      </c>
      <c r="AE69" s="712" t="s">
        <v>67</v>
      </c>
      <c r="AF69" s="700" t="s">
        <v>199</v>
      </c>
      <c r="AG69" s="700" t="s">
        <v>200</v>
      </c>
      <c r="AH69" s="513" t="s">
        <v>188</v>
      </c>
      <c r="AI69" s="888" t="s">
        <v>189</v>
      </c>
      <c r="AJ69" s="888" t="s">
        <v>190</v>
      </c>
      <c r="AK69" s="568">
        <v>3304990000</v>
      </c>
      <c r="AL69" s="555"/>
      <c r="AM69" s="588" t="s">
        <v>201</v>
      </c>
      <c r="AN69" s="273" t="s">
        <v>202</v>
      </c>
      <c r="AO69" s="273" t="s">
        <v>203</v>
      </c>
      <c r="AP69" s="889" t="s">
        <v>204</v>
      </c>
      <c r="AQ69" s="892"/>
      <c r="AR69" s="509"/>
      <c r="AS69" s="893"/>
      <c r="AU69" s="478"/>
      <c r="AV69" s="478"/>
      <c r="AW69" s="478"/>
      <c r="AX69" s="506"/>
      <c r="AY69" s="507"/>
      <c r="AZ69" s="478"/>
      <c r="BA69" s="478"/>
      <c r="BB69" s="478"/>
      <c r="BC69" s="478"/>
      <c r="BD69" s="483"/>
      <c r="BF69" s="447"/>
    </row>
    <row r="70" spans="1:72" s="42" customFormat="1" ht="23.25" customHeight="1">
      <c r="A70" s="485" t="s">
        <v>156</v>
      </c>
      <c r="B70" s="274"/>
      <c r="C70" s="271" t="s">
        <v>205</v>
      </c>
      <c r="D70" s="827"/>
      <c r="E70" s="270"/>
      <c r="F70" s="492"/>
      <c r="G70" s="308"/>
      <c r="H70" s="309"/>
      <c r="I70" s="310"/>
      <c r="J70" s="311"/>
      <c r="K70" s="488">
        <f>K72+K73+K71</f>
        <v>0</v>
      </c>
      <c r="L70" s="489"/>
      <c r="M70" s="488">
        <f>M72+M73+M71</f>
        <v>0</v>
      </c>
      <c r="N70" s="489"/>
      <c r="O70" s="488">
        <f>O72+O73+O71</f>
        <v>0</v>
      </c>
      <c r="P70" s="489"/>
      <c r="Q70" s="488">
        <f>Q72+Q73+Q71</f>
        <v>0</v>
      </c>
      <c r="R70" s="489"/>
      <c r="S70" s="488">
        <f>S72+S73+S71</f>
        <v>0</v>
      </c>
      <c r="T70" s="313"/>
      <c r="U70" s="313">
        <f>U72+U73</f>
        <v>0</v>
      </c>
      <c r="V70" s="293"/>
      <c r="W70" s="293"/>
      <c r="X70" s="584"/>
      <c r="Y70" s="562"/>
      <c r="Z70" s="293"/>
      <c r="AA70" s="772"/>
      <c r="AB70" s="543"/>
      <c r="AC70" s="543"/>
      <c r="AD70" s="716"/>
      <c r="AE70" s="716"/>
      <c r="AF70" s="701"/>
      <c r="AG70" s="701"/>
      <c r="AH70" s="546"/>
      <c r="AI70" s="675"/>
      <c r="AJ70" s="293"/>
      <c r="AK70" s="563"/>
      <c r="AL70" s="554"/>
      <c r="AM70" s="562"/>
      <c r="AN70" s="293"/>
      <c r="AO70" s="293"/>
      <c r="AP70" s="293"/>
      <c r="AQ70" s="293"/>
      <c r="AR70" s="293"/>
      <c r="AS70" s="563"/>
      <c r="AU70" s="293"/>
      <c r="AV70" s="293"/>
      <c r="AW70" s="293"/>
      <c r="AX70" s="293"/>
      <c r="AY70" s="293"/>
      <c r="AZ70" s="293"/>
      <c r="BA70" s="293"/>
      <c r="BB70" s="293"/>
      <c r="BC70" s="293"/>
      <c r="BD70" s="293"/>
      <c r="BF70" s="447"/>
    </row>
    <row r="71" spans="1:72" s="17" customFormat="1" ht="22.5" customHeight="1">
      <c r="A71" s="284" t="s">
        <v>206</v>
      </c>
      <c r="B71" s="108">
        <v>3314</v>
      </c>
      <c r="C71" s="251" t="s">
        <v>207</v>
      </c>
      <c r="D71" s="826"/>
      <c r="E71" s="110" t="s">
        <v>208</v>
      </c>
      <c r="F71" s="272"/>
      <c r="G71" s="276"/>
      <c r="H71" s="316"/>
      <c r="I71" s="317"/>
      <c r="J71" s="275">
        <v>280</v>
      </c>
      <c r="K71" s="318">
        <f>F71*J71</f>
        <v>0</v>
      </c>
      <c r="L71" s="275">
        <f>J71+J71*5%</f>
        <v>294</v>
      </c>
      <c r="M71" s="318">
        <f>L71*F71</f>
        <v>0</v>
      </c>
      <c r="N71" s="275">
        <f>J71+J71*10%</f>
        <v>308</v>
      </c>
      <c r="O71" s="318">
        <f>N71*F71</f>
        <v>0</v>
      </c>
      <c r="P71" s="275">
        <f>J71+J71*15%</f>
        <v>322</v>
      </c>
      <c r="Q71" s="318">
        <f>P71*F71</f>
        <v>0</v>
      </c>
      <c r="R71" s="275">
        <f>J71+J71*25%</f>
        <v>350</v>
      </c>
      <c r="S71" s="318">
        <f>R71*F71</f>
        <v>0</v>
      </c>
      <c r="T71" s="112">
        <v>45</v>
      </c>
      <c r="U71" s="112">
        <f>T71*F71</f>
        <v>0</v>
      </c>
      <c r="V71" s="319"/>
      <c r="W71" s="320">
        <v>530</v>
      </c>
      <c r="X71" s="584"/>
      <c r="Y71" s="567">
        <v>12</v>
      </c>
      <c r="Z71" s="189">
        <v>3</v>
      </c>
      <c r="AA71" s="541" t="s">
        <v>209</v>
      </c>
      <c r="AB71" s="537">
        <v>44055</v>
      </c>
      <c r="AC71" s="537">
        <v>45880</v>
      </c>
      <c r="AD71" s="768" t="s">
        <v>210</v>
      </c>
      <c r="AE71" s="717" t="s">
        <v>67</v>
      </c>
      <c r="AF71" s="695" t="s">
        <v>211</v>
      </c>
      <c r="AG71" s="695" t="s">
        <v>212</v>
      </c>
      <c r="AH71" s="813" t="s">
        <v>213</v>
      </c>
      <c r="AI71" s="888" t="s">
        <v>214</v>
      </c>
      <c r="AJ71" s="478"/>
      <c r="AK71" s="568">
        <v>3304990000</v>
      </c>
      <c r="AL71" s="551"/>
      <c r="AM71" s="610" t="s">
        <v>215</v>
      </c>
      <c r="AN71" s="611" t="s">
        <v>216</v>
      </c>
      <c r="AO71" s="611" t="s">
        <v>217</v>
      </c>
      <c r="AP71" s="620" t="s">
        <v>218</v>
      </c>
      <c r="AQ71" s="613" t="s">
        <v>219</v>
      </c>
      <c r="AR71" s="621"/>
      <c r="AS71" s="618"/>
      <c r="AT71" s="42"/>
      <c r="AU71" s="478"/>
      <c r="AV71" s="478"/>
      <c r="AW71" s="478"/>
      <c r="AX71" s="506"/>
      <c r="AY71" s="507"/>
      <c r="AZ71" s="478"/>
      <c r="BA71" s="478"/>
      <c r="BB71" s="478"/>
      <c r="BC71" s="478"/>
      <c r="BD71" s="483"/>
      <c r="BE71" s="42"/>
      <c r="BF71" s="447"/>
      <c r="BG71" s="42"/>
      <c r="BH71" s="42"/>
      <c r="BI71" s="42"/>
      <c r="BJ71" s="42"/>
      <c r="BK71" s="42"/>
      <c r="BL71" s="42"/>
      <c r="BM71" s="42"/>
      <c r="BN71" s="42"/>
      <c r="BO71" s="42"/>
      <c r="BP71" s="42"/>
      <c r="BQ71" s="42"/>
      <c r="BR71" s="42"/>
      <c r="BS71" s="42"/>
      <c r="BT71" s="42"/>
    </row>
    <row r="72" spans="1:72" s="42" customFormat="1" ht="22.5" customHeight="1">
      <c r="A72" s="314" t="s">
        <v>220</v>
      </c>
      <c r="B72" s="108">
        <v>3310</v>
      </c>
      <c r="C72" s="251" t="s">
        <v>221</v>
      </c>
      <c r="D72" s="826"/>
      <c r="E72" s="110" t="s">
        <v>222</v>
      </c>
      <c r="F72" s="248"/>
      <c r="G72" s="111"/>
      <c r="H72" s="111"/>
      <c r="I72" s="239"/>
      <c r="J72" s="238">
        <v>405</v>
      </c>
      <c r="K72" s="104">
        <f>F72*J72</f>
        <v>0</v>
      </c>
      <c r="L72" s="238">
        <f>J72+J72*5%</f>
        <v>425.25</v>
      </c>
      <c r="M72" s="104">
        <f>L72*F72</f>
        <v>0</v>
      </c>
      <c r="N72" s="238">
        <f>J72+J72*10%</f>
        <v>445.5</v>
      </c>
      <c r="O72" s="104">
        <f>N72*F72</f>
        <v>0</v>
      </c>
      <c r="P72" s="238">
        <f>J72+J72*15%</f>
        <v>465.75</v>
      </c>
      <c r="Q72" s="104">
        <f>P72*F72</f>
        <v>0</v>
      </c>
      <c r="R72" s="238">
        <f>J72+J72*25%</f>
        <v>506.25</v>
      </c>
      <c r="S72" s="104">
        <f>R72*F72</f>
        <v>0</v>
      </c>
      <c r="T72" s="112">
        <v>64</v>
      </c>
      <c r="U72" s="112">
        <f>T72*F72</f>
        <v>0</v>
      </c>
      <c r="V72" s="113"/>
      <c r="W72" s="301">
        <v>765</v>
      </c>
      <c r="X72" s="584"/>
      <c r="Y72" s="565">
        <v>9</v>
      </c>
      <c r="Z72" s="286">
        <v>3</v>
      </c>
      <c r="AA72" s="541" t="s">
        <v>223</v>
      </c>
      <c r="AB72" s="537">
        <v>44035</v>
      </c>
      <c r="AC72" s="537">
        <v>45860</v>
      </c>
      <c r="AD72" s="717" t="s">
        <v>224</v>
      </c>
      <c r="AE72" s="718" t="s">
        <v>225</v>
      </c>
      <c r="AF72" s="695" t="s">
        <v>226</v>
      </c>
      <c r="AG72" s="695" t="s">
        <v>227</v>
      </c>
      <c r="AH72" s="547" t="s">
        <v>228</v>
      </c>
      <c r="AI72" s="688" t="s">
        <v>229</v>
      </c>
      <c r="AJ72" s="478"/>
      <c r="AK72" s="564">
        <v>3304990000</v>
      </c>
      <c r="AL72" s="555"/>
      <c r="AM72" s="622" t="s">
        <v>230</v>
      </c>
      <c r="AN72" s="623" t="s">
        <v>231</v>
      </c>
      <c r="AO72" s="623" t="s">
        <v>232</v>
      </c>
      <c r="AP72" s="624" t="s">
        <v>233</v>
      </c>
      <c r="AQ72" s="613" t="s">
        <v>234</v>
      </c>
      <c r="AR72" s="614"/>
      <c r="AS72" s="625" t="s">
        <v>235</v>
      </c>
      <c r="AU72" s="478"/>
      <c r="AV72" s="478"/>
      <c r="AW72" s="478"/>
      <c r="AX72" s="506"/>
      <c r="AY72" s="507"/>
      <c r="AZ72" s="478"/>
      <c r="BA72" s="478"/>
      <c r="BB72" s="478"/>
      <c r="BC72" s="478"/>
      <c r="BD72" s="483"/>
      <c r="BF72" s="447"/>
    </row>
    <row r="73" spans="1:72" s="42" customFormat="1" ht="22.5" customHeight="1">
      <c r="A73" s="314" t="s">
        <v>236</v>
      </c>
      <c r="B73" s="108">
        <v>3311</v>
      </c>
      <c r="C73" s="251" t="s">
        <v>237</v>
      </c>
      <c r="D73" s="826"/>
      <c r="E73" s="110" t="s">
        <v>222</v>
      </c>
      <c r="F73" s="248"/>
      <c r="G73" s="111"/>
      <c r="H73" s="111"/>
      <c r="I73" s="239"/>
      <c r="J73" s="238">
        <v>405</v>
      </c>
      <c r="K73" s="104">
        <f>F73*J73</f>
        <v>0</v>
      </c>
      <c r="L73" s="238">
        <f>J73+J73*5%</f>
        <v>425.25</v>
      </c>
      <c r="M73" s="104">
        <f>L73*F73</f>
        <v>0</v>
      </c>
      <c r="N73" s="238">
        <f>J73+J73*10%</f>
        <v>445.5</v>
      </c>
      <c r="O73" s="104">
        <f>N73*F73</f>
        <v>0</v>
      </c>
      <c r="P73" s="238">
        <f>J73+J73*15%</f>
        <v>465.75</v>
      </c>
      <c r="Q73" s="104">
        <f>P73*F73</f>
        <v>0</v>
      </c>
      <c r="R73" s="238">
        <f>J73+J73*25%</f>
        <v>506.25</v>
      </c>
      <c r="S73" s="104">
        <f>R73*F73</f>
        <v>0</v>
      </c>
      <c r="T73" s="112">
        <v>64</v>
      </c>
      <c r="U73" s="112">
        <f>T73*F73</f>
        <v>0</v>
      </c>
      <c r="V73" s="113"/>
      <c r="W73" s="301">
        <v>765</v>
      </c>
      <c r="X73" s="584"/>
      <c r="Y73" s="565">
        <v>9</v>
      </c>
      <c r="Z73" s="286">
        <v>3</v>
      </c>
      <c r="AA73" s="541" t="s">
        <v>223</v>
      </c>
      <c r="AB73" s="537">
        <v>44035</v>
      </c>
      <c r="AC73" s="537">
        <v>45860</v>
      </c>
      <c r="AD73" s="717" t="s">
        <v>224</v>
      </c>
      <c r="AE73" s="718" t="s">
        <v>225</v>
      </c>
      <c r="AF73" s="695" t="s">
        <v>226</v>
      </c>
      <c r="AG73" s="695" t="s">
        <v>238</v>
      </c>
      <c r="AH73" s="547" t="s">
        <v>228</v>
      </c>
      <c r="AI73" s="688" t="s">
        <v>229</v>
      </c>
      <c r="AJ73" s="478"/>
      <c r="AK73" s="568">
        <v>3304990000</v>
      </c>
      <c r="AL73" s="551"/>
      <c r="AM73" s="622" t="s">
        <v>239</v>
      </c>
      <c r="AN73" s="623" t="s">
        <v>240</v>
      </c>
      <c r="AO73" s="623" t="s">
        <v>232</v>
      </c>
      <c r="AP73" s="616" t="s">
        <v>241</v>
      </c>
      <c r="AQ73" s="613" t="s">
        <v>242</v>
      </c>
      <c r="AR73" s="614"/>
      <c r="AS73" s="618" t="s">
        <v>235</v>
      </c>
      <c r="AU73" s="478"/>
      <c r="AV73" s="478"/>
      <c r="AW73" s="478"/>
      <c r="AX73" s="506"/>
      <c r="AY73" s="507"/>
      <c r="AZ73" s="478"/>
      <c r="BA73" s="478"/>
      <c r="BB73" s="478"/>
      <c r="BC73" s="478"/>
      <c r="BD73" s="483"/>
      <c r="BF73" s="447"/>
    </row>
    <row r="74" spans="1:72" s="42" customFormat="1" ht="21.75" customHeight="1">
      <c r="A74" s="485" t="s">
        <v>156</v>
      </c>
      <c r="B74" s="274"/>
      <c r="C74" s="271" t="s">
        <v>243</v>
      </c>
      <c r="D74" s="827"/>
      <c r="E74" s="270"/>
      <c r="F74" s="492"/>
      <c r="G74" s="308"/>
      <c r="H74" s="309"/>
      <c r="I74" s="310"/>
      <c r="J74" s="311"/>
      <c r="K74" s="488">
        <f>K75+K76+K77+K78</f>
        <v>0</v>
      </c>
      <c r="L74" s="489"/>
      <c r="M74" s="488">
        <f>M75+M76+M77+M78</f>
        <v>0</v>
      </c>
      <c r="N74" s="489"/>
      <c r="O74" s="488">
        <f>O75+O76+O77+O78</f>
        <v>0</v>
      </c>
      <c r="P74" s="489"/>
      <c r="Q74" s="488">
        <f>Q75+Q76+Q77+Q78</f>
        <v>0</v>
      </c>
      <c r="R74" s="489"/>
      <c r="S74" s="488">
        <f>S75+S76+S77+S78</f>
        <v>0</v>
      </c>
      <c r="T74" s="313"/>
      <c r="U74" s="313">
        <f>U76+U77</f>
        <v>0</v>
      </c>
      <c r="V74" s="293"/>
      <c r="W74" s="293"/>
      <c r="X74" s="584"/>
      <c r="Y74" s="562"/>
      <c r="Z74" s="293"/>
      <c r="AA74" s="772"/>
      <c r="AB74" s="543"/>
      <c r="AC74" s="543"/>
      <c r="AD74" s="716"/>
      <c r="AE74" s="716"/>
      <c r="AF74" s="701"/>
      <c r="AG74" s="701"/>
      <c r="AH74" s="546"/>
      <c r="AI74" s="675"/>
      <c r="AJ74" s="293"/>
      <c r="AK74" s="563"/>
      <c r="AL74" s="554"/>
      <c r="AM74" s="562"/>
      <c r="AN74" s="293"/>
      <c r="AO74" s="293"/>
      <c r="AP74" s="293"/>
      <c r="AQ74" s="293"/>
      <c r="AR74" s="293"/>
      <c r="AS74" s="563"/>
      <c r="AU74" s="293"/>
      <c r="AV74" s="293"/>
      <c r="AW74" s="293"/>
      <c r="AX74" s="293"/>
      <c r="AY74" s="293"/>
      <c r="AZ74" s="293"/>
      <c r="BA74" s="293"/>
      <c r="BB74" s="293"/>
      <c r="BC74" s="293"/>
      <c r="BD74" s="293"/>
      <c r="BF74" s="447"/>
    </row>
    <row r="75" spans="1:72" s="42" customFormat="1" ht="18.75" customHeight="1">
      <c r="A75" s="314" t="s">
        <v>137</v>
      </c>
      <c r="B75" s="108">
        <v>3993</v>
      </c>
      <c r="C75" s="251" t="s">
        <v>138</v>
      </c>
      <c r="D75" s="826"/>
      <c r="E75" s="110"/>
      <c r="F75" s="248"/>
      <c r="G75" s="111"/>
      <c r="H75" s="111"/>
      <c r="I75" s="239"/>
      <c r="J75" s="238">
        <v>115</v>
      </c>
      <c r="K75" s="104">
        <f>J75*F75</f>
        <v>0</v>
      </c>
      <c r="L75" s="238">
        <v>121</v>
      </c>
      <c r="M75" s="104">
        <f>L75*F75</f>
        <v>0</v>
      </c>
      <c r="N75" s="238">
        <v>127</v>
      </c>
      <c r="O75" s="104">
        <f>N75*F75</f>
        <v>0</v>
      </c>
      <c r="P75" s="238">
        <v>132</v>
      </c>
      <c r="Q75" s="104">
        <f>P75*F75</f>
        <v>0</v>
      </c>
      <c r="R75" s="238">
        <v>144</v>
      </c>
      <c r="S75" s="104">
        <f>R75*F75</f>
        <v>0</v>
      </c>
      <c r="T75" s="112">
        <v>25</v>
      </c>
      <c r="U75" s="112">
        <f t="shared" ref="U75:U78" si="7">T75*F75</f>
        <v>0</v>
      </c>
      <c r="V75" s="113"/>
      <c r="W75" s="301">
        <v>220</v>
      </c>
      <c r="X75" s="584"/>
      <c r="Y75" s="565">
        <v>12</v>
      </c>
      <c r="Z75" s="286"/>
      <c r="AA75" s="541" t="s">
        <v>139</v>
      </c>
      <c r="AB75" s="537">
        <v>45118</v>
      </c>
      <c r="AC75" s="537">
        <v>47673</v>
      </c>
      <c r="AD75" s="849" t="s">
        <v>140</v>
      </c>
      <c r="AE75" s="712" t="s">
        <v>141</v>
      </c>
      <c r="AF75" s="700"/>
      <c r="AG75" s="700"/>
      <c r="AH75" s="513"/>
      <c r="AI75" s="478" t="s">
        <v>244</v>
      </c>
      <c r="AJ75" s="478"/>
      <c r="AK75" s="568">
        <v>3304990000</v>
      </c>
      <c r="AL75" s="551"/>
      <c r="AM75" s="622"/>
      <c r="AN75" s="623"/>
      <c r="AO75" s="623"/>
      <c r="AP75" s="616" t="s">
        <v>245</v>
      </c>
      <c r="AQ75" s="613"/>
      <c r="AR75" s="614"/>
      <c r="AS75" s="618"/>
      <c r="AU75" s="478"/>
      <c r="AV75" s="478"/>
      <c r="AW75" s="478"/>
      <c r="AX75" s="506"/>
      <c r="AY75" s="507"/>
      <c r="AZ75" s="478"/>
      <c r="BA75" s="478"/>
      <c r="BB75" s="478"/>
      <c r="BC75" s="478"/>
      <c r="BD75" s="483"/>
      <c r="BF75" s="447"/>
    </row>
    <row r="76" spans="1:72" s="42" customFormat="1" ht="21" customHeight="1">
      <c r="A76" s="314" t="s">
        <v>143</v>
      </c>
      <c r="B76" s="108">
        <v>3995</v>
      </c>
      <c r="C76" s="251" t="s">
        <v>144</v>
      </c>
      <c r="D76" s="826"/>
      <c r="E76" s="110"/>
      <c r="F76" s="248"/>
      <c r="G76" s="111"/>
      <c r="H76" s="111"/>
      <c r="I76" s="239"/>
      <c r="J76" s="238">
        <v>115</v>
      </c>
      <c r="K76" s="104">
        <f>J76*F76</f>
        <v>0</v>
      </c>
      <c r="L76" s="238">
        <v>121</v>
      </c>
      <c r="M76" s="104">
        <f>L76*F76</f>
        <v>0</v>
      </c>
      <c r="N76" s="238">
        <v>127</v>
      </c>
      <c r="O76" s="104">
        <f>N76*F76</f>
        <v>0</v>
      </c>
      <c r="P76" s="238">
        <v>132</v>
      </c>
      <c r="Q76" s="104">
        <f>P76*F76</f>
        <v>0</v>
      </c>
      <c r="R76" s="238">
        <v>144</v>
      </c>
      <c r="S76" s="104">
        <f>R76*F76</f>
        <v>0</v>
      </c>
      <c r="T76" s="112">
        <v>25</v>
      </c>
      <c r="U76" s="112">
        <f t="shared" si="7"/>
        <v>0</v>
      </c>
      <c r="V76" s="113"/>
      <c r="W76" s="301">
        <v>220</v>
      </c>
      <c r="X76" s="584"/>
      <c r="Y76" s="565">
        <v>12</v>
      </c>
      <c r="Z76" s="286"/>
      <c r="AA76" s="541" t="s">
        <v>139</v>
      </c>
      <c r="AB76" s="537">
        <v>45118</v>
      </c>
      <c r="AC76" s="537">
        <v>47673</v>
      </c>
      <c r="AD76" s="849" t="s">
        <v>246</v>
      </c>
      <c r="AE76" s="712" t="s">
        <v>141</v>
      </c>
      <c r="AF76" s="700"/>
      <c r="AG76" s="700"/>
      <c r="AH76" s="513"/>
      <c r="AI76" s="478" t="s">
        <v>244</v>
      </c>
      <c r="AJ76" s="478"/>
      <c r="AK76" s="568">
        <v>3304990000</v>
      </c>
      <c r="AL76" s="551"/>
      <c r="AM76" s="622"/>
      <c r="AN76" s="623"/>
      <c r="AO76" s="623"/>
      <c r="AP76" s="616" t="s">
        <v>247</v>
      </c>
      <c r="AQ76" s="613"/>
      <c r="AR76" s="614"/>
      <c r="AS76" s="618"/>
      <c r="AU76" s="478"/>
      <c r="AV76" s="478"/>
      <c r="AW76" s="478"/>
      <c r="AX76" s="506"/>
      <c r="AY76" s="507"/>
      <c r="AZ76" s="478"/>
      <c r="BA76" s="478"/>
      <c r="BB76" s="478"/>
      <c r="BC76" s="478"/>
      <c r="BD76" s="483"/>
      <c r="BF76" s="447"/>
    </row>
    <row r="77" spans="1:72" s="42" customFormat="1" ht="21" customHeight="1">
      <c r="A77" s="314" t="s">
        <v>145</v>
      </c>
      <c r="B77" s="108">
        <v>3996</v>
      </c>
      <c r="C77" s="251" t="s">
        <v>146</v>
      </c>
      <c r="D77" s="826"/>
      <c r="E77" s="110"/>
      <c r="F77" s="248"/>
      <c r="G77" s="111"/>
      <c r="H77" s="111"/>
      <c r="I77" s="239"/>
      <c r="J77" s="238">
        <v>115</v>
      </c>
      <c r="K77" s="104">
        <f>J77*F77</f>
        <v>0</v>
      </c>
      <c r="L77" s="238">
        <v>121</v>
      </c>
      <c r="M77" s="104">
        <f>L77*F77</f>
        <v>0</v>
      </c>
      <c r="N77" s="238">
        <v>127</v>
      </c>
      <c r="O77" s="104">
        <f>N77*F77</f>
        <v>0</v>
      </c>
      <c r="P77" s="238">
        <v>132</v>
      </c>
      <c r="Q77" s="104">
        <f>P77*F77</f>
        <v>0</v>
      </c>
      <c r="R77" s="238">
        <v>144</v>
      </c>
      <c r="S77" s="104">
        <f>R77*F77</f>
        <v>0</v>
      </c>
      <c r="T77" s="112">
        <v>25</v>
      </c>
      <c r="U77" s="112">
        <f t="shared" si="7"/>
        <v>0</v>
      </c>
      <c r="V77" s="113"/>
      <c r="W77" s="301">
        <v>220</v>
      </c>
      <c r="X77" s="584"/>
      <c r="Y77" s="565">
        <v>12</v>
      </c>
      <c r="Z77" s="286"/>
      <c r="AA77" s="541" t="s">
        <v>139</v>
      </c>
      <c r="AB77" s="537">
        <v>45118</v>
      </c>
      <c r="AC77" s="537">
        <v>47673</v>
      </c>
      <c r="AD77" s="849" t="s">
        <v>248</v>
      </c>
      <c r="AE77" s="712" t="s">
        <v>141</v>
      </c>
      <c r="AF77" s="700"/>
      <c r="AG77" s="700"/>
      <c r="AH77" s="513"/>
      <c r="AI77" s="478" t="s">
        <v>244</v>
      </c>
      <c r="AJ77" s="478"/>
      <c r="AK77" s="568">
        <v>3304990000</v>
      </c>
      <c r="AL77" s="551"/>
      <c r="AM77" s="622"/>
      <c r="AN77" s="623"/>
      <c r="AO77" s="623"/>
      <c r="AP77" s="616"/>
      <c r="AQ77" s="613"/>
      <c r="AR77" s="614"/>
      <c r="AS77" s="618"/>
      <c r="AU77" s="478"/>
      <c r="AV77" s="478"/>
      <c r="AW77" s="478"/>
      <c r="AX77" s="506"/>
      <c r="AY77" s="507"/>
      <c r="AZ77" s="478"/>
      <c r="BA77" s="478"/>
      <c r="BB77" s="478"/>
      <c r="BC77" s="478"/>
      <c r="BD77" s="483"/>
      <c r="BF77" s="447"/>
    </row>
    <row r="78" spans="1:72" s="42" customFormat="1" ht="20.25" customHeight="1">
      <c r="A78" s="314" t="s">
        <v>147</v>
      </c>
      <c r="B78" s="108">
        <v>3994</v>
      </c>
      <c r="C78" s="251" t="s">
        <v>148</v>
      </c>
      <c r="D78" s="826"/>
      <c r="E78" s="110"/>
      <c r="F78" s="248"/>
      <c r="G78" s="111"/>
      <c r="H78" s="111"/>
      <c r="I78" s="239"/>
      <c r="J78" s="238">
        <v>115</v>
      </c>
      <c r="K78" s="104">
        <f>J78*F78</f>
        <v>0</v>
      </c>
      <c r="L78" s="238">
        <v>121</v>
      </c>
      <c r="M78" s="104">
        <f>L78*F78</f>
        <v>0</v>
      </c>
      <c r="N78" s="238">
        <v>127</v>
      </c>
      <c r="O78" s="104">
        <f>N78*F78</f>
        <v>0</v>
      </c>
      <c r="P78" s="238">
        <v>132</v>
      </c>
      <c r="Q78" s="104">
        <f>P78*F78</f>
        <v>0</v>
      </c>
      <c r="R78" s="238">
        <v>144</v>
      </c>
      <c r="S78" s="104">
        <f>R78*F78</f>
        <v>0</v>
      </c>
      <c r="T78" s="112">
        <v>25</v>
      </c>
      <c r="U78" s="112">
        <f t="shared" si="7"/>
        <v>0</v>
      </c>
      <c r="V78" s="113"/>
      <c r="W78" s="301">
        <v>220</v>
      </c>
      <c r="X78" s="584"/>
      <c r="Y78" s="565">
        <v>12</v>
      </c>
      <c r="Z78" s="286"/>
      <c r="AA78" s="541" t="s">
        <v>139</v>
      </c>
      <c r="AB78" s="537">
        <v>45118</v>
      </c>
      <c r="AC78" s="537">
        <v>47673</v>
      </c>
      <c r="AD78" s="849" t="s">
        <v>249</v>
      </c>
      <c r="AE78" s="712" t="s">
        <v>141</v>
      </c>
      <c r="AF78" s="700"/>
      <c r="AG78" s="700"/>
      <c r="AH78" s="513"/>
      <c r="AI78" s="478" t="s">
        <v>244</v>
      </c>
      <c r="AJ78" s="478"/>
      <c r="AK78" s="568">
        <v>3304990000</v>
      </c>
      <c r="AL78" s="551"/>
      <c r="AM78" s="622"/>
      <c r="AN78" s="623"/>
      <c r="AO78" s="623"/>
      <c r="AP78" s="616"/>
      <c r="AQ78" s="613"/>
      <c r="AR78" s="614"/>
      <c r="AS78" s="618"/>
      <c r="AU78" s="478"/>
      <c r="AV78" s="478"/>
      <c r="AW78" s="478"/>
      <c r="AX78" s="506"/>
      <c r="AY78" s="507"/>
      <c r="AZ78" s="478"/>
      <c r="BA78" s="478"/>
      <c r="BB78" s="478"/>
      <c r="BC78" s="478"/>
      <c r="BD78" s="483"/>
      <c r="BF78" s="447"/>
    </row>
    <row r="79" spans="1:72" s="42" customFormat="1" ht="20.25" customHeight="1">
      <c r="A79" s="485" t="s">
        <v>156</v>
      </c>
      <c r="B79" s="274"/>
      <c r="C79" s="271" t="s">
        <v>250</v>
      </c>
      <c r="D79" s="827"/>
      <c r="E79" s="270"/>
      <c r="F79" s="492"/>
      <c r="G79" s="308"/>
      <c r="H79" s="309"/>
      <c r="I79" s="310"/>
      <c r="J79" s="311"/>
      <c r="K79" s="488">
        <f>K80+K81+K82</f>
        <v>0</v>
      </c>
      <c r="L79" s="489"/>
      <c r="M79" s="488">
        <f>M80+M81+M82</f>
        <v>0</v>
      </c>
      <c r="N79" s="489"/>
      <c r="O79" s="488">
        <f>O80+O81+O82</f>
        <v>0</v>
      </c>
      <c r="P79" s="489"/>
      <c r="Q79" s="488">
        <f>Q80+Q81+Q82</f>
        <v>0</v>
      </c>
      <c r="R79" s="489"/>
      <c r="S79" s="488">
        <f>S80+S81+S82</f>
        <v>0</v>
      </c>
      <c r="T79" s="313"/>
      <c r="U79" s="313">
        <f>SUM(U80:U87)</f>
        <v>0</v>
      </c>
      <c r="V79" s="293"/>
      <c r="W79" s="293"/>
      <c r="X79" s="584"/>
      <c r="Y79" s="562"/>
      <c r="Z79" s="293"/>
      <c r="AA79" s="772"/>
      <c r="AB79" s="543"/>
      <c r="AC79" s="543"/>
      <c r="AD79" s="716"/>
      <c r="AE79" s="716"/>
      <c r="AF79" s="701"/>
      <c r="AG79" s="701"/>
      <c r="AH79" s="546"/>
      <c r="AI79" s="675"/>
      <c r="AJ79" s="293"/>
      <c r="AK79" s="563"/>
      <c r="AL79" s="554"/>
      <c r="AM79" s="562"/>
      <c r="AN79" s="293"/>
      <c r="AO79" s="293"/>
      <c r="AP79" s="293"/>
      <c r="AQ79" s="293"/>
      <c r="AR79" s="293"/>
      <c r="AS79" s="563"/>
      <c r="AU79" s="293"/>
      <c r="AV79" s="293"/>
      <c r="AW79" s="293"/>
      <c r="AX79" s="293"/>
      <c r="AY79" s="293"/>
      <c r="AZ79" s="293"/>
      <c r="BA79" s="293"/>
      <c r="BB79" s="293"/>
      <c r="BC79" s="293"/>
      <c r="BD79" s="293"/>
      <c r="BF79" s="447"/>
    </row>
    <row r="80" spans="1:72" s="42" customFormat="1" ht="23.25" customHeight="1">
      <c r="A80" s="115">
        <v>4627101829109</v>
      </c>
      <c r="B80" s="108">
        <v>3003</v>
      </c>
      <c r="C80" s="251" t="s">
        <v>251</v>
      </c>
      <c r="D80" s="826"/>
      <c r="E80" s="110" t="s">
        <v>252</v>
      </c>
      <c r="F80" s="321"/>
      <c r="G80" s="104"/>
      <c r="H80" s="104"/>
      <c r="I80" s="322"/>
      <c r="J80" s="238">
        <v>365</v>
      </c>
      <c r="K80" s="104">
        <f>J80*F80</f>
        <v>0</v>
      </c>
      <c r="L80" s="238">
        <f>J80+J80*5%</f>
        <v>383.25</v>
      </c>
      <c r="M80" s="104">
        <f>L80*F80</f>
        <v>0</v>
      </c>
      <c r="N80" s="238">
        <f>J80+J80*10%</f>
        <v>401.5</v>
      </c>
      <c r="O80" s="104">
        <f>N80*F80</f>
        <v>0</v>
      </c>
      <c r="P80" s="238">
        <f>J80+J80*15%</f>
        <v>419.75</v>
      </c>
      <c r="Q80" s="104">
        <f>P80*F80</f>
        <v>0</v>
      </c>
      <c r="R80" s="238">
        <f>J80+J80*25%</f>
        <v>456.25</v>
      </c>
      <c r="S80" s="104">
        <f>R80*F80</f>
        <v>0</v>
      </c>
      <c r="T80" s="112">
        <v>81</v>
      </c>
      <c r="U80" s="112">
        <f>T80*F80</f>
        <v>0</v>
      </c>
      <c r="V80" s="323"/>
      <c r="W80" s="301">
        <v>690</v>
      </c>
      <c r="X80" s="584"/>
      <c r="Y80" s="565">
        <v>12</v>
      </c>
      <c r="Z80" s="286">
        <v>3</v>
      </c>
      <c r="AA80" s="541" t="s">
        <v>253</v>
      </c>
      <c r="AB80" s="537">
        <v>43815</v>
      </c>
      <c r="AC80" s="537">
        <v>45641</v>
      </c>
      <c r="AD80" s="768" t="s">
        <v>254</v>
      </c>
      <c r="AE80" s="756" t="s">
        <v>141</v>
      </c>
      <c r="AF80" s="695"/>
      <c r="AG80" s="695"/>
      <c r="AH80" s="547" t="s">
        <v>255</v>
      </c>
      <c r="AI80" s="676" t="s">
        <v>256</v>
      </c>
      <c r="AJ80" s="511" t="s">
        <v>257</v>
      </c>
      <c r="AK80" s="568">
        <v>3304990000</v>
      </c>
      <c r="AL80" s="551"/>
      <c r="AM80" s="610" t="s">
        <v>258</v>
      </c>
      <c r="AN80" s="611" t="s">
        <v>259</v>
      </c>
      <c r="AO80" s="611" t="s">
        <v>260</v>
      </c>
      <c r="AP80" s="624" t="s">
        <v>261</v>
      </c>
      <c r="AQ80" s="617" t="s">
        <v>262</v>
      </c>
      <c r="AR80" s="614"/>
      <c r="AS80" s="625" t="s">
        <v>263</v>
      </c>
      <c r="AU80" s="511"/>
      <c r="AV80" s="511"/>
      <c r="AW80" s="511"/>
      <c r="AX80" s="512">
        <f>140*54*34/1000000000*1.1</f>
        <v>2.8274400000000003E-4</v>
      </c>
      <c r="AY80" s="507">
        <f>AX80*F80</f>
        <v>0</v>
      </c>
      <c r="AZ80" s="189"/>
      <c r="BA80" s="189"/>
      <c r="BB80" s="189"/>
      <c r="BC80" s="478"/>
      <c r="BD80" s="189" t="s">
        <v>264</v>
      </c>
      <c r="BF80" s="447"/>
    </row>
    <row r="81" spans="1:65" s="42" customFormat="1" ht="22.5" customHeight="1">
      <c r="A81" s="115">
        <v>4627101829086</v>
      </c>
      <c r="B81" s="108">
        <v>3005</v>
      </c>
      <c r="C81" s="251" t="s">
        <v>265</v>
      </c>
      <c r="D81" s="826"/>
      <c r="E81" s="110" t="s">
        <v>252</v>
      </c>
      <c r="F81" s="321"/>
      <c r="G81" s="104"/>
      <c r="H81" s="104"/>
      <c r="I81" s="322"/>
      <c r="J81" s="238">
        <v>270</v>
      </c>
      <c r="K81" s="104">
        <f>J81*F81</f>
        <v>0</v>
      </c>
      <c r="L81" s="238">
        <f t="shared" ref="L81:L82" si="8">J81+J81*5%</f>
        <v>283.5</v>
      </c>
      <c r="M81" s="104">
        <f>L81*F81</f>
        <v>0</v>
      </c>
      <c r="N81" s="238">
        <f t="shared" ref="N81:N82" si="9">J81+J81*10%</f>
        <v>297</v>
      </c>
      <c r="O81" s="104">
        <f>N81*F81</f>
        <v>0</v>
      </c>
      <c r="P81" s="238">
        <f t="shared" ref="P81:P82" si="10">J81+J81*15%</f>
        <v>310.5</v>
      </c>
      <c r="Q81" s="104">
        <f>P81*F81</f>
        <v>0</v>
      </c>
      <c r="R81" s="238">
        <f t="shared" ref="R81:R82" si="11">J81+J81*25%</f>
        <v>337.5</v>
      </c>
      <c r="S81" s="104">
        <f>R81*F81</f>
        <v>0</v>
      </c>
      <c r="T81" s="112">
        <v>81</v>
      </c>
      <c r="U81" s="112">
        <f>T81*F81</f>
        <v>0</v>
      </c>
      <c r="V81" s="323"/>
      <c r="W81" s="301">
        <v>510</v>
      </c>
      <c r="X81" s="584"/>
      <c r="Y81" s="565">
        <v>12</v>
      </c>
      <c r="Z81" s="286">
        <v>3</v>
      </c>
      <c r="AA81" s="541" t="s">
        <v>266</v>
      </c>
      <c r="AB81" s="537">
        <v>43815</v>
      </c>
      <c r="AC81" s="537">
        <v>45641</v>
      </c>
      <c r="AD81" s="768" t="s">
        <v>267</v>
      </c>
      <c r="AE81" s="756" t="s">
        <v>67</v>
      </c>
      <c r="AF81" s="695"/>
      <c r="AG81" s="695"/>
      <c r="AH81" s="547" t="s">
        <v>255</v>
      </c>
      <c r="AI81" s="676" t="s">
        <v>256</v>
      </c>
      <c r="AJ81" s="511" t="s">
        <v>257</v>
      </c>
      <c r="AK81" s="568">
        <v>3304990000</v>
      </c>
      <c r="AL81" s="551"/>
      <c r="AM81" s="610" t="s">
        <v>268</v>
      </c>
      <c r="AN81" s="611" t="s">
        <v>269</v>
      </c>
      <c r="AO81" s="611" t="s">
        <v>270</v>
      </c>
      <c r="AP81" s="624" t="s">
        <v>271</v>
      </c>
      <c r="AQ81" s="617" t="s">
        <v>272</v>
      </c>
      <c r="AR81" s="614"/>
      <c r="AS81" s="625" t="s">
        <v>263</v>
      </c>
      <c r="AU81" s="511"/>
      <c r="AV81" s="511"/>
      <c r="AW81" s="511"/>
      <c r="AX81" s="512">
        <f>140*54*34/1000000000*1.1</f>
        <v>2.8274400000000003E-4</v>
      </c>
      <c r="AY81" s="507">
        <f>AX81*F81</f>
        <v>0</v>
      </c>
      <c r="AZ81" s="189"/>
      <c r="BA81" s="189"/>
      <c r="BB81" s="189"/>
      <c r="BC81" s="478"/>
      <c r="BD81" s="189" t="s">
        <v>264</v>
      </c>
      <c r="BF81" s="447"/>
    </row>
    <row r="82" spans="1:65" s="42" customFormat="1" ht="23.25" customHeight="1">
      <c r="A82" s="115">
        <v>4627101829123</v>
      </c>
      <c r="B82" s="108">
        <v>3007</v>
      </c>
      <c r="C82" s="251" t="s">
        <v>273</v>
      </c>
      <c r="D82" s="826"/>
      <c r="E82" s="110" t="s">
        <v>274</v>
      </c>
      <c r="F82" s="321"/>
      <c r="G82" s="104"/>
      <c r="H82" s="104"/>
      <c r="I82" s="322"/>
      <c r="J82" s="238">
        <v>270</v>
      </c>
      <c r="K82" s="104">
        <f>J82*F82</f>
        <v>0</v>
      </c>
      <c r="L82" s="238">
        <f t="shared" si="8"/>
        <v>283.5</v>
      </c>
      <c r="M82" s="104">
        <f>L82*F82</f>
        <v>0</v>
      </c>
      <c r="N82" s="238">
        <f t="shared" si="9"/>
        <v>297</v>
      </c>
      <c r="O82" s="104">
        <f>N82*F82</f>
        <v>0</v>
      </c>
      <c r="P82" s="238">
        <f t="shared" si="10"/>
        <v>310.5</v>
      </c>
      <c r="Q82" s="104">
        <f>P82*F82</f>
        <v>0</v>
      </c>
      <c r="R82" s="238">
        <f t="shared" si="11"/>
        <v>337.5</v>
      </c>
      <c r="S82" s="104">
        <f>R82*F82</f>
        <v>0</v>
      </c>
      <c r="T82" s="112">
        <v>158</v>
      </c>
      <c r="U82" s="112">
        <f>T82*F82</f>
        <v>0</v>
      </c>
      <c r="V82" s="323"/>
      <c r="W82" s="301">
        <v>510</v>
      </c>
      <c r="X82" s="584"/>
      <c r="Y82" s="565">
        <v>12</v>
      </c>
      <c r="Z82" s="286">
        <v>3</v>
      </c>
      <c r="AA82" s="541" t="s">
        <v>275</v>
      </c>
      <c r="AB82" s="537">
        <v>43815</v>
      </c>
      <c r="AC82" s="537">
        <v>45641</v>
      </c>
      <c r="AD82" s="768" t="s">
        <v>276</v>
      </c>
      <c r="AE82" s="756" t="s">
        <v>67</v>
      </c>
      <c r="AF82" s="695"/>
      <c r="AG82" s="695"/>
      <c r="AH82" s="547" t="s">
        <v>277</v>
      </c>
      <c r="AI82" s="676" t="s">
        <v>278</v>
      </c>
      <c r="AJ82" s="511" t="s">
        <v>279</v>
      </c>
      <c r="AK82" s="568">
        <v>3304990000</v>
      </c>
      <c r="AL82" s="551"/>
      <c r="AM82" s="610" t="s">
        <v>280</v>
      </c>
      <c r="AN82" s="611" t="s">
        <v>281</v>
      </c>
      <c r="AO82" s="611" t="s">
        <v>282</v>
      </c>
      <c r="AP82" s="624" t="s">
        <v>283</v>
      </c>
      <c r="AQ82" s="617" t="s">
        <v>284</v>
      </c>
      <c r="AR82" s="614"/>
      <c r="AS82" s="625" t="s">
        <v>263</v>
      </c>
      <c r="AU82" s="511"/>
      <c r="AV82" s="511"/>
      <c r="AW82" s="511"/>
      <c r="AX82" s="512">
        <f>51*55*55/1000000000*1.1</f>
        <v>1.6970250000000002E-4</v>
      </c>
      <c r="AY82" s="507">
        <f>AX82*F82</f>
        <v>0</v>
      </c>
      <c r="AZ82" s="189"/>
      <c r="BA82" s="189"/>
      <c r="BB82" s="189"/>
      <c r="BC82" s="478"/>
      <c r="BD82" s="189" t="s">
        <v>264</v>
      </c>
      <c r="BF82" s="447"/>
    </row>
    <row r="83" spans="1:65" s="42" customFormat="1" ht="22.5" customHeight="1">
      <c r="A83" s="485" t="s">
        <v>156</v>
      </c>
      <c r="B83" s="274"/>
      <c r="C83" s="271" t="s">
        <v>285</v>
      </c>
      <c r="D83" s="827"/>
      <c r="E83" s="270"/>
      <c r="F83" s="491"/>
      <c r="G83" s="308"/>
      <c r="H83" s="309"/>
      <c r="I83" s="310"/>
      <c r="J83" s="311"/>
      <c r="K83" s="488">
        <f>K84+K85+K86+K87+K88+K89+K90+K91+K93+K94+K95+K96+K97+K100+K101+K92+K98+K99</f>
        <v>0</v>
      </c>
      <c r="L83" s="489"/>
      <c r="M83" s="488">
        <f>M84+M85+M86+M87+M88+M89+M90+M91+M93+M94+M95+M96+M97+M100+M101+M92+M98+M99</f>
        <v>0</v>
      </c>
      <c r="N83" s="489"/>
      <c r="O83" s="488">
        <f>O84+O85+O86+O87+O88+O89+O90+O91+O93+O94+O95+O96+O97+O100+O101+O92+O98+O99</f>
        <v>0</v>
      </c>
      <c r="P83" s="489"/>
      <c r="Q83" s="488">
        <f>Q84+Q85+Q86+Q87+Q88+Q89+Q90+Q91+Q93+Q94+Q95+Q96+Q97+Q100+Q101+Q92+Q98+Q99</f>
        <v>0</v>
      </c>
      <c r="R83" s="489"/>
      <c r="S83" s="488">
        <f>S84+S85+S86+S87+S88+S89+S90+S91+S93+S94+S95+S96+S97+S100+S101+S92+S98+S99</f>
        <v>0</v>
      </c>
      <c r="T83" s="313"/>
      <c r="U83" s="313">
        <f>U84+U85+U86+U87+U88+U89+U90+U91+U93+U94+U95+U96+U92+U97+U98+U99+U100+U101</f>
        <v>0</v>
      </c>
      <c r="V83" s="293"/>
      <c r="W83" s="293"/>
      <c r="X83" s="584"/>
      <c r="Y83" s="562"/>
      <c r="Z83" s="293"/>
      <c r="AA83" s="772"/>
      <c r="AB83" s="543"/>
      <c r="AC83" s="543"/>
      <c r="AD83" s="716"/>
      <c r="AE83" s="716"/>
      <c r="AF83" s="701"/>
      <c r="AG83" s="701"/>
      <c r="AH83" s="546"/>
      <c r="AI83" s="675"/>
      <c r="AJ83" s="293"/>
      <c r="AK83" s="563"/>
      <c r="AL83" s="554"/>
      <c r="AM83" s="562"/>
      <c r="AN83" s="293"/>
      <c r="AO83" s="293"/>
      <c r="AP83" s="293"/>
      <c r="AQ83" s="293"/>
      <c r="AR83" s="293"/>
      <c r="AS83" s="563"/>
      <c r="AU83" s="293"/>
      <c r="AV83" s="293"/>
      <c r="AW83" s="293"/>
      <c r="AX83" s="293"/>
      <c r="AY83" s="293"/>
      <c r="AZ83" s="293"/>
      <c r="BA83" s="293"/>
      <c r="BB83" s="293"/>
      <c r="BC83" s="293"/>
      <c r="BD83" s="293"/>
      <c r="BF83" s="447"/>
    </row>
    <row r="84" spans="1:65" s="3" customFormat="1" ht="22.5" customHeight="1">
      <c r="A84" s="115">
        <v>4627101825453</v>
      </c>
      <c r="B84" s="108">
        <v>1335</v>
      </c>
      <c r="C84" s="251" t="s">
        <v>286</v>
      </c>
      <c r="D84" s="826"/>
      <c r="E84" s="110" t="s">
        <v>287</v>
      </c>
      <c r="F84" s="248"/>
      <c r="G84" s="111"/>
      <c r="H84" s="111"/>
      <c r="I84" s="239"/>
      <c r="J84" s="238">
        <v>250</v>
      </c>
      <c r="K84" s="104">
        <f>F84*J84</f>
        <v>0</v>
      </c>
      <c r="L84" s="238">
        <f>J84+J84*5%</f>
        <v>262.5</v>
      </c>
      <c r="M84" s="104">
        <f t="shared" ref="M84:M96" si="12">L84*F84</f>
        <v>0</v>
      </c>
      <c r="N84" s="238">
        <f>J84+J84*10%</f>
        <v>275</v>
      </c>
      <c r="O84" s="104">
        <v>0</v>
      </c>
      <c r="P84" s="238">
        <f>J84+J84*15%</f>
        <v>287.5</v>
      </c>
      <c r="Q84" s="104">
        <f t="shared" ref="Q84:Q96" si="13">P84*F84</f>
        <v>0</v>
      </c>
      <c r="R84" s="238">
        <f>J84+J84*25%</f>
        <v>312.5</v>
      </c>
      <c r="S84" s="104">
        <f t="shared" ref="S84:S96" si="14">R84*F84</f>
        <v>0</v>
      </c>
      <c r="T84" s="112">
        <v>125</v>
      </c>
      <c r="U84" s="112">
        <f t="shared" ref="U84:U96" si="15">T84*F84</f>
        <v>0</v>
      </c>
      <c r="V84" s="114"/>
      <c r="W84" s="301">
        <v>475</v>
      </c>
      <c r="X84" s="446"/>
      <c r="Y84" s="565">
        <v>18</v>
      </c>
      <c r="Z84" s="286">
        <v>6</v>
      </c>
      <c r="AA84" s="775" t="s">
        <v>288</v>
      </c>
      <c r="AB84" s="538">
        <v>44910</v>
      </c>
      <c r="AC84" s="538">
        <v>45356</v>
      </c>
      <c r="AD84" s="850" t="s">
        <v>289</v>
      </c>
      <c r="AE84" s="715" t="s">
        <v>141</v>
      </c>
      <c r="AF84" s="897" t="s">
        <v>290</v>
      </c>
      <c r="AG84" s="897" t="s">
        <v>291</v>
      </c>
      <c r="AH84" s="824" t="s">
        <v>292</v>
      </c>
      <c r="AI84" s="894" t="s">
        <v>293</v>
      </c>
      <c r="AJ84" s="895"/>
      <c r="AK84" s="568">
        <v>3401300000</v>
      </c>
      <c r="AL84" s="551"/>
      <c r="AM84" s="588" t="s">
        <v>294</v>
      </c>
      <c r="AN84" s="273" t="s">
        <v>295</v>
      </c>
      <c r="AO84" s="273" t="s">
        <v>296</v>
      </c>
      <c r="AP84" s="620" t="s">
        <v>297</v>
      </c>
      <c r="AQ84" s="617" t="s">
        <v>298</v>
      </c>
      <c r="AR84" s="621"/>
      <c r="AS84" s="618"/>
      <c r="AU84" s="189">
        <v>24</v>
      </c>
      <c r="AV84" s="189" t="s">
        <v>299</v>
      </c>
      <c r="AW84" s="514">
        <f>F84/AU84</f>
        <v>0</v>
      </c>
      <c r="AX84" s="512">
        <f>145*56*28/1000000000*0.05</f>
        <v>1.1368E-5</v>
      </c>
      <c r="AY84" s="507">
        <f t="shared" ref="AY84:AY101" si="16">AX84*F84</f>
        <v>0</v>
      </c>
      <c r="AZ84" s="189">
        <v>0.17</v>
      </c>
      <c r="BA84" s="189">
        <v>0.13</v>
      </c>
      <c r="BB84" s="189">
        <v>0.21</v>
      </c>
      <c r="BC84" s="515">
        <f>BB84*BA84*AZ84*AW84</f>
        <v>0</v>
      </c>
      <c r="BD84" s="189" t="s">
        <v>264</v>
      </c>
      <c r="BF84" s="447" t="s">
        <v>300</v>
      </c>
      <c r="BG84" s="442" t="s">
        <v>301</v>
      </c>
      <c r="BH84" s="442" t="s">
        <v>302</v>
      </c>
    </row>
    <row r="85" spans="1:65" s="3" customFormat="1" ht="22.5" customHeight="1">
      <c r="A85" s="115">
        <v>4627101825491</v>
      </c>
      <c r="B85" s="108">
        <v>1224</v>
      </c>
      <c r="C85" s="251" t="s">
        <v>303</v>
      </c>
      <c r="D85" s="826"/>
      <c r="E85" s="110" t="s">
        <v>304</v>
      </c>
      <c r="F85" s="248"/>
      <c r="G85" s="111"/>
      <c r="H85" s="111"/>
      <c r="I85" s="239"/>
      <c r="J85" s="238">
        <v>320</v>
      </c>
      <c r="K85" s="104">
        <f t="shared" ref="K85:K96" si="17">J85*F85</f>
        <v>0</v>
      </c>
      <c r="L85" s="238">
        <f t="shared" ref="L85:L101" si="18">J85+J85*5%</f>
        <v>336</v>
      </c>
      <c r="M85" s="104">
        <f t="shared" si="12"/>
        <v>0</v>
      </c>
      <c r="N85" s="238">
        <f t="shared" ref="N85:N101" si="19">J85+J85*10%</f>
        <v>352</v>
      </c>
      <c r="O85" s="104">
        <f t="shared" ref="O85:O96" si="20">N85*F85</f>
        <v>0</v>
      </c>
      <c r="P85" s="238">
        <f t="shared" ref="P85:P101" si="21">J85+J85*15%</f>
        <v>368</v>
      </c>
      <c r="Q85" s="104">
        <f t="shared" si="13"/>
        <v>0</v>
      </c>
      <c r="R85" s="238">
        <f t="shared" ref="R85:R101" si="22">J85+J85*25%</f>
        <v>400</v>
      </c>
      <c r="S85" s="104">
        <f t="shared" si="14"/>
        <v>0</v>
      </c>
      <c r="T85" s="112">
        <v>160</v>
      </c>
      <c r="U85" s="112">
        <f t="shared" si="15"/>
        <v>0</v>
      </c>
      <c r="V85" s="114"/>
      <c r="W85" s="301">
        <v>605</v>
      </c>
      <c r="X85" s="446"/>
      <c r="Y85" s="565">
        <v>12</v>
      </c>
      <c r="Z85" s="286">
        <v>6</v>
      </c>
      <c r="AA85" s="541" t="s">
        <v>305</v>
      </c>
      <c r="AB85" s="537">
        <v>44907</v>
      </c>
      <c r="AC85" s="537">
        <v>47463</v>
      </c>
      <c r="AD85" s="717" t="s">
        <v>306</v>
      </c>
      <c r="AE85" s="718" t="s">
        <v>141</v>
      </c>
      <c r="AF85" s="898" t="s">
        <v>290</v>
      </c>
      <c r="AG85" s="898" t="s">
        <v>307</v>
      </c>
      <c r="AH85" s="824" t="s">
        <v>308</v>
      </c>
      <c r="AI85" s="894" t="s">
        <v>309</v>
      </c>
      <c r="AJ85" s="896"/>
      <c r="AK85" s="568">
        <v>3401300000</v>
      </c>
      <c r="AL85" s="551"/>
      <c r="AM85" s="588" t="s">
        <v>310</v>
      </c>
      <c r="AN85" s="273" t="s">
        <v>311</v>
      </c>
      <c r="AO85" s="273" t="s">
        <v>312</v>
      </c>
      <c r="AP85" s="620" t="s">
        <v>313</v>
      </c>
      <c r="AQ85" s="617" t="s">
        <v>314</v>
      </c>
      <c r="AR85" s="621"/>
      <c r="AS85" s="618"/>
      <c r="AU85" s="511"/>
      <c r="AV85" s="511"/>
      <c r="AW85" s="511"/>
      <c r="AX85" s="512">
        <f>165*52*34/1000000000*0.05</f>
        <v>1.4585999999999999E-5</v>
      </c>
      <c r="AY85" s="507">
        <f t="shared" si="16"/>
        <v>0</v>
      </c>
      <c r="AZ85" s="189">
        <v>0.17</v>
      </c>
      <c r="BA85" s="189">
        <v>0.13</v>
      </c>
      <c r="BB85" s="189">
        <v>0.21</v>
      </c>
      <c r="BC85" s="189"/>
      <c r="BD85" s="189" t="s">
        <v>315</v>
      </c>
      <c r="BF85" s="447" t="s">
        <v>316</v>
      </c>
      <c r="BG85" s="442" t="s">
        <v>317</v>
      </c>
      <c r="BH85" s="442"/>
      <c r="BI85" s="442" t="s">
        <v>318</v>
      </c>
      <c r="BJ85" s="21" t="s">
        <v>319</v>
      </c>
    </row>
    <row r="86" spans="1:65" s="3" customFormat="1" ht="22.5" customHeight="1">
      <c r="A86" s="115">
        <v>4627101825477</v>
      </c>
      <c r="B86" s="108">
        <v>1225</v>
      </c>
      <c r="C86" s="251" t="s">
        <v>320</v>
      </c>
      <c r="D86" s="826"/>
      <c r="E86" s="110" t="s">
        <v>321</v>
      </c>
      <c r="F86" s="248"/>
      <c r="G86" s="111"/>
      <c r="H86" s="111"/>
      <c r="I86" s="239"/>
      <c r="J86" s="238">
        <v>325</v>
      </c>
      <c r="K86" s="104">
        <f t="shared" si="17"/>
        <v>0</v>
      </c>
      <c r="L86" s="238">
        <f t="shared" si="18"/>
        <v>341.25</v>
      </c>
      <c r="M86" s="104">
        <f t="shared" si="12"/>
        <v>0</v>
      </c>
      <c r="N86" s="238">
        <f t="shared" si="19"/>
        <v>357.5</v>
      </c>
      <c r="O86" s="104">
        <f t="shared" si="20"/>
        <v>0</v>
      </c>
      <c r="P86" s="238">
        <f t="shared" si="21"/>
        <v>373.75</v>
      </c>
      <c r="Q86" s="104">
        <f t="shared" si="13"/>
        <v>0</v>
      </c>
      <c r="R86" s="238">
        <f t="shared" si="22"/>
        <v>406.25</v>
      </c>
      <c r="S86" s="104">
        <f t="shared" si="14"/>
        <v>0</v>
      </c>
      <c r="T86" s="112">
        <v>205</v>
      </c>
      <c r="U86" s="112">
        <f t="shared" si="15"/>
        <v>0</v>
      </c>
      <c r="V86" s="114"/>
      <c r="W86" s="301">
        <v>615</v>
      </c>
      <c r="X86" s="446"/>
      <c r="Y86" s="565">
        <v>12</v>
      </c>
      <c r="Z86" s="286">
        <v>6</v>
      </c>
      <c r="AA86" s="541" t="s">
        <v>305</v>
      </c>
      <c r="AB86" s="537">
        <v>44907</v>
      </c>
      <c r="AC86" s="537">
        <v>47463</v>
      </c>
      <c r="AD86" s="718" t="s">
        <v>306</v>
      </c>
      <c r="AE86" s="718" t="s">
        <v>141</v>
      </c>
      <c r="AF86" s="898" t="s">
        <v>322</v>
      </c>
      <c r="AG86" s="898" t="s">
        <v>323</v>
      </c>
      <c r="AH86" s="824" t="s">
        <v>324</v>
      </c>
      <c r="AI86" s="894" t="s">
        <v>325</v>
      </c>
      <c r="AJ86" s="896"/>
      <c r="AK86" s="568">
        <v>3401300000</v>
      </c>
      <c r="AL86" s="551"/>
      <c r="AM86" s="588" t="s">
        <v>326</v>
      </c>
      <c r="AN86" s="273" t="s">
        <v>327</v>
      </c>
      <c r="AO86" s="273" t="s">
        <v>328</v>
      </c>
      <c r="AP86" s="620" t="s">
        <v>329</v>
      </c>
      <c r="AQ86" s="617" t="s">
        <v>330</v>
      </c>
      <c r="AR86" s="621"/>
      <c r="AS86" s="618"/>
      <c r="AU86" s="511"/>
      <c r="AV86" s="511"/>
      <c r="AW86" s="511"/>
      <c r="AX86" s="512">
        <f>160*64*36/1000000000*0.05</f>
        <v>1.8432000000000002E-5</v>
      </c>
      <c r="AY86" s="507">
        <f t="shared" si="16"/>
        <v>0</v>
      </c>
      <c r="AZ86" s="189">
        <v>0.17</v>
      </c>
      <c r="BA86" s="189">
        <v>0.13</v>
      </c>
      <c r="BB86" s="189">
        <v>0.21</v>
      </c>
      <c r="BC86" s="189"/>
      <c r="BD86" s="189" t="s">
        <v>315</v>
      </c>
      <c r="BF86" s="447"/>
      <c r="BG86" s="442"/>
      <c r="BH86" s="442"/>
    </row>
    <row r="87" spans="1:65" s="3" customFormat="1" ht="27" customHeight="1">
      <c r="A87" s="115">
        <v>4627101825514</v>
      </c>
      <c r="B87" s="108">
        <v>1226</v>
      </c>
      <c r="C87" s="251" t="s">
        <v>331</v>
      </c>
      <c r="D87" s="826"/>
      <c r="E87" s="110" t="s">
        <v>304</v>
      </c>
      <c r="F87" s="248"/>
      <c r="G87" s="111"/>
      <c r="H87" s="111"/>
      <c r="I87" s="239"/>
      <c r="J87" s="238">
        <v>340</v>
      </c>
      <c r="K87" s="104">
        <f t="shared" si="17"/>
        <v>0</v>
      </c>
      <c r="L87" s="238">
        <f t="shared" si="18"/>
        <v>357</v>
      </c>
      <c r="M87" s="104">
        <f t="shared" si="12"/>
        <v>0</v>
      </c>
      <c r="N87" s="238">
        <f t="shared" si="19"/>
        <v>374</v>
      </c>
      <c r="O87" s="104">
        <f t="shared" si="20"/>
        <v>0</v>
      </c>
      <c r="P87" s="238">
        <f t="shared" si="21"/>
        <v>391</v>
      </c>
      <c r="Q87" s="104">
        <f t="shared" si="13"/>
        <v>0</v>
      </c>
      <c r="R87" s="238">
        <f t="shared" si="22"/>
        <v>425</v>
      </c>
      <c r="S87" s="104">
        <f t="shared" si="14"/>
        <v>0</v>
      </c>
      <c r="T87" s="112">
        <v>160</v>
      </c>
      <c r="U87" s="112">
        <f t="shared" si="15"/>
        <v>0</v>
      </c>
      <c r="V87" s="114"/>
      <c r="W87" s="301">
        <v>645</v>
      </c>
      <c r="X87" s="446"/>
      <c r="Y87" s="565">
        <v>12</v>
      </c>
      <c r="Z87" s="286">
        <v>6</v>
      </c>
      <c r="AA87" s="541" t="s">
        <v>332</v>
      </c>
      <c r="AB87" s="537">
        <v>45086</v>
      </c>
      <c r="AC87" s="537">
        <v>47642</v>
      </c>
      <c r="AD87" s="717" t="s">
        <v>333</v>
      </c>
      <c r="AE87" s="717" t="s">
        <v>141</v>
      </c>
      <c r="AF87" s="898" t="s">
        <v>322</v>
      </c>
      <c r="AG87" s="898" t="s">
        <v>291</v>
      </c>
      <c r="AH87" s="824" t="s">
        <v>334</v>
      </c>
      <c r="AI87" s="894" t="s">
        <v>309</v>
      </c>
      <c r="AJ87" s="896"/>
      <c r="AK87" s="568">
        <v>3401300000</v>
      </c>
      <c r="AL87" s="551"/>
      <c r="AM87" s="588" t="s">
        <v>335</v>
      </c>
      <c r="AN87" s="273" t="s">
        <v>336</v>
      </c>
      <c r="AO87" s="273" t="s">
        <v>337</v>
      </c>
      <c r="AP87" s="626" t="s">
        <v>338</v>
      </c>
      <c r="AQ87" s="627" t="s">
        <v>339</v>
      </c>
      <c r="AR87" s="619" t="s">
        <v>340</v>
      </c>
      <c r="AS87" s="615"/>
      <c r="AU87" s="511"/>
      <c r="AV87" s="511"/>
      <c r="AW87" s="511"/>
      <c r="AX87" s="512">
        <f>165*52*34/1000000000</f>
        <v>2.9171999999999998E-4</v>
      </c>
      <c r="AY87" s="507">
        <f t="shared" si="16"/>
        <v>0</v>
      </c>
      <c r="AZ87" s="189">
        <v>0.17</v>
      </c>
      <c r="BA87" s="189">
        <v>0.13</v>
      </c>
      <c r="BB87" s="189">
        <v>0.21</v>
      </c>
      <c r="BC87" s="189"/>
      <c r="BD87" s="189" t="s">
        <v>315</v>
      </c>
      <c r="BF87" s="447"/>
      <c r="BG87" s="442" t="s">
        <v>317</v>
      </c>
      <c r="BH87" s="442"/>
    </row>
    <row r="88" spans="1:65" s="3" customFormat="1" ht="22.5" customHeight="1">
      <c r="A88" s="115">
        <v>4627101826085</v>
      </c>
      <c r="B88" s="108">
        <v>3434</v>
      </c>
      <c r="C88" s="251" t="s">
        <v>341</v>
      </c>
      <c r="D88" s="826"/>
      <c r="E88" s="110" t="s">
        <v>287</v>
      </c>
      <c r="F88" s="248"/>
      <c r="G88" s="111"/>
      <c r="H88" s="111"/>
      <c r="I88" s="239"/>
      <c r="J88" s="238">
        <v>360</v>
      </c>
      <c r="K88" s="104">
        <f t="shared" si="17"/>
        <v>0</v>
      </c>
      <c r="L88" s="238">
        <f t="shared" si="18"/>
        <v>378</v>
      </c>
      <c r="M88" s="104">
        <f t="shared" si="12"/>
        <v>0</v>
      </c>
      <c r="N88" s="238">
        <f t="shared" si="19"/>
        <v>396</v>
      </c>
      <c r="O88" s="104">
        <f t="shared" si="20"/>
        <v>0</v>
      </c>
      <c r="P88" s="238">
        <f t="shared" si="21"/>
        <v>414</v>
      </c>
      <c r="Q88" s="104">
        <f t="shared" si="13"/>
        <v>0</v>
      </c>
      <c r="R88" s="238">
        <f t="shared" si="22"/>
        <v>450</v>
      </c>
      <c r="S88" s="104">
        <f t="shared" si="14"/>
        <v>0</v>
      </c>
      <c r="T88" s="112">
        <v>195</v>
      </c>
      <c r="U88" s="112">
        <f t="shared" si="15"/>
        <v>0</v>
      </c>
      <c r="V88" s="114"/>
      <c r="W88" s="301">
        <v>680</v>
      </c>
      <c r="X88" s="446"/>
      <c r="Y88" s="565">
        <v>9</v>
      </c>
      <c r="Z88" s="286">
        <v>3</v>
      </c>
      <c r="AA88" s="776" t="s">
        <v>342</v>
      </c>
      <c r="AB88" s="536">
        <v>43640</v>
      </c>
      <c r="AC88" s="536">
        <v>45466</v>
      </c>
      <c r="AD88" s="714" t="s">
        <v>343</v>
      </c>
      <c r="AE88" s="714" t="s">
        <v>141</v>
      </c>
      <c r="AF88" s="897" t="s">
        <v>344</v>
      </c>
      <c r="AG88" s="897" t="s">
        <v>345</v>
      </c>
      <c r="AH88" s="824" t="s">
        <v>346</v>
      </c>
      <c r="AI88" s="896" t="s">
        <v>347</v>
      </c>
      <c r="AJ88" s="896"/>
      <c r="AK88" s="568">
        <v>3304990000</v>
      </c>
      <c r="AL88" s="551"/>
      <c r="AM88" s="588" t="s">
        <v>348</v>
      </c>
      <c r="AN88" s="273" t="s">
        <v>349</v>
      </c>
      <c r="AO88" s="273" t="s">
        <v>350</v>
      </c>
      <c r="AP88" s="626" t="s">
        <v>351</v>
      </c>
      <c r="AQ88" s="617" t="s">
        <v>352</v>
      </c>
      <c r="AR88" s="619" t="s">
        <v>340</v>
      </c>
      <c r="AS88" s="615"/>
      <c r="AU88" s="511"/>
      <c r="AV88" s="511"/>
      <c r="AW88" s="511"/>
      <c r="AX88" s="512">
        <f>140*45*45/1000000000</f>
        <v>2.8350000000000001E-4</v>
      </c>
      <c r="AY88" s="507">
        <f t="shared" si="16"/>
        <v>0</v>
      </c>
      <c r="AZ88" s="189">
        <v>0.17</v>
      </c>
      <c r="BA88" s="189">
        <v>0.13</v>
      </c>
      <c r="BB88" s="189">
        <v>0.21</v>
      </c>
      <c r="BC88" s="189"/>
      <c r="BD88" s="189" t="s">
        <v>264</v>
      </c>
      <c r="BF88" s="447"/>
      <c r="BG88" s="442" t="s">
        <v>353</v>
      </c>
      <c r="BH88" s="442" t="s">
        <v>354</v>
      </c>
    </row>
    <row r="89" spans="1:65" s="3" customFormat="1" ht="18" customHeight="1">
      <c r="A89" s="115">
        <v>4627101829468</v>
      </c>
      <c r="B89" s="108">
        <v>3180</v>
      </c>
      <c r="C89" s="251" t="s">
        <v>355</v>
      </c>
      <c r="D89" s="826"/>
      <c r="E89" s="110" t="s">
        <v>222</v>
      </c>
      <c r="F89" s="248"/>
      <c r="G89" s="111"/>
      <c r="H89" s="111"/>
      <c r="I89" s="239"/>
      <c r="J89" s="238">
        <v>445</v>
      </c>
      <c r="K89" s="104">
        <f t="shared" si="17"/>
        <v>0</v>
      </c>
      <c r="L89" s="238">
        <f t="shared" si="18"/>
        <v>467.25</v>
      </c>
      <c r="M89" s="104">
        <f t="shared" si="12"/>
        <v>0</v>
      </c>
      <c r="N89" s="238">
        <f t="shared" si="19"/>
        <v>489.5</v>
      </c>
      <c r="O89" s="104">
        <f t="shared" si="20"/>
        <v>0</v>
      </c>
      <c r="P89" s="238">
        <f t="shared" si="21"/>
        <v>511.75</v>
      </c>
      <c r="Q89" s="104">
        <f t="shared" si="13"/>
        <v>0</v>
      </c>
      <c r="R89" s="238">
        <f t="shared" si="22"/>
        <v>556.25</v>
      </c>
      <c r="S89" s="104">
        <f t="shared" si="14"/>
        <v>0</v>
      </c>
      <c r="T89" s="112">
        <v>38.4</v>
      </c>
      <c r="U89" s="112">
        <f t="shared" si="15"/>
        <v>0</v>
      </c>
      <c r="V89" s="114"/>
      <c r="W89" s="301">
        <v>845</v>
      </c>
      <c r="X89" s="446"/>
      <c r="Y89" s="565">
        <v>12</v>
      </c>
      <c r="Z89" s="478" t="s">
        <v>356</v>
      </c>
      <c r="AA89" s="541" t="s">
        <v>357</v>
      </c>
      <c r="AB89" s="537">
        <v>44907</v>
      </c>
      <c r="AC89" s="537">
        <v>47460</v>
      </c>
      <c r="AD89" s="718" t="s">
        <v>358</v>
      </c>
      <c r="AE89" s="718" t="s">
        <v>359</v>
      </c>
      <c r="AF89" s="898" t="s">
        <v>226</v>
      </c>
      <c r="AG89" s="898" t="s">
        <v>360</v>
      </c>
      <c r="AH89" s="824" t="s">
        <v>165</v>
      </c>
      <c r="AI89" s="896" t="s">
        <v>361</v>
      </c>
      <c r="AJ89" s="896"/>
      <c r="AK89" s="568">
        <v>3304990000</v>
      </c>
      <c r="AL89" s="551"/>
      <c r="AM89" s="588" t="s">
        <v>362</v>
      </c>
      <c r="AN89" s="273" t="s">
        <v>363</v>
      </c>
      <c r="AO89" s="273" t="s">
        <v>364</v>
      </c>
      <c r="AP89" s="620" t="s">
        <v>365</v>
      </c>
      <c r="AQ89" s="617" t="s">
        <v>352</v>
      </c>
      <c r="AR89" s="621"/>
      <c r="AS89" s="618"/>
      <c r="AU89" s="511">
        <v>12</v>
      </c>
      <c r="AV89" s="511" t="s">
        <v>366</v>
      </c>
      <c r="AW89" s="514">
        <f>F89/AU89</f>
        <v>0</v>
      </c>
      <c r="AX89" s="512">
        <f>98*63*32/1000000000*1.05</f>
        <v>2.0744639999999999E-4</v>
      </c>
      <c r="AY89" s="507">
        <f t="shared" si="16"/>
        <v>0</v>
      </c>
      <c r="AZ89" s="511">
        <v>0.2</v>
      </c>
      <c r="BA89" s="511">
        <v>0.14000000000000001</v>
      </c>
      <c r="BB89" s="511">
        <v>0.1</v>
      </c>
      <c r="BC89" s="515">
        <f>BB89*BA89*AZ89*AW89</f>
        <v>0</v>
      </c>
      <c r="BD89" s="189" t="s">
        <v>315</v>
      </c>
      <c r="BF89" s="447"/>
      <c r="BG89" s="442"/>
      <c r="BH89" s="442"/>
    </row>
    <row r="90" spans="1:65" s="3" customFormat="1" ht="22.5" customHeight="1">
      <c r="A90" s="115">
        <v>4627101829475</v>
      </c>
      <c r="B90" s="108">
        <v>3179</v>
      </c>
      <c r="C90" s="251" t="s">
        <v>367</v>
      </c>
      <c r="D90" s="826"/>
      <c r="E90" s="110" t="s">
        <v>222</v>
      </c>
      <c r="F90" s="248"/>
      <c r="G90" s="111"/>
      <c r="H90" s="111"/>
      <c r="I90" s="239"/>
      <c r="J90" s="238">
        <v>440</v>
      </c>
      <c r="K90" s="104">
        <f t="shared" si="17"/>
        <v>0</v>
      </c>
      <c r="L90" s="238">
        <f t="shared" si="18"/>
        <v>462</v>
      </c>
      <c r="M90" s="104">
        <f t="shared" si="12"/>
        <v>0</v>
      </c>
      <c r="N90" s="238">
        <f t="shared" si="19"/>
        <v>484</v>
      </c>
      <c r="O90" s="104">
        <f t="shared" si="20"/>
        <v>0</v>
      </c>
      <c r="P90" s="238">
        <f t="shared" si="21"/>
        <v>506</v>
      </c>
      <c r="Q90" s="104">
        <f t="shared" si="13"/>
        <v>0</v>
      </c>
      <c r="R90" s="238">
        <f t="shared" si="22"/>
        <v>550</v>
      </c>
      <c r="S90" s="104">
        <f t="shared" si="14"/>
        <v>0</v>
      </c>
      <c r="T90" s="112">
        <v>38.4</v>
      </c>
      <c r="U90" s="112">
        <f t="shared" si="15"/>
        <v>0</v>
      </c>
      <c r="V90" s="114"/>
      <c r="W90" s="301">
        <v>835</v>
      </c>
      <c r="X90" s="446"/>
      <c r="Y90" s="565">
        <v>12</v>
      </c>
      <c r="Z90" s="478" t="s">
        <v>356</v>
      </c>
      <c r="AA90" s="541" t="s">
        <v>357</v>
      </c>
      <c r="AB90" s="537">
        <v>44907</v>
      </c>
      <c r="AC90" s="537">
        <v>47460</v>
      </c>
      <c r="AD90" s="718" t="s">
        <v>358</v>
      </c>
      <c r="AE90" s="718" t="s">
        <v>359</v>
      </c>
      <c r="AF90" s="898" t="s">
        <v>226</v>
      </c>
      <c r="AG90" s="898" t="s">
        <v>360</v>
      </c>
      <c r="AH90" s="824" t="s">
        <v>165</v>
      </c>
      <c r="AI90" s="896" t="s">
        <v>361</v>
      </c>
      <c r="AJ90" s="896"/>
      <c r="AK90" s="568">
        <v>3304990000</v>
      </c>
      <c r="AL90" s="551"/>
      <c r="AM90" s="588" t="s">
        <v>368</v>
      </c>
      <c r="AN90" s="273" t="s">
        <v>369</v>
      </c>
      <c r="AO90" s="273" t="s">
        <v>370</v>
      </c>
      <c r="AP90" s="620" t="s">
        <v>371</v>
      </c>
      <c r="AQ90" s="617" t="s">
        <v>372</v>
      </c>
      <c r="AR90" s="621"/>
      <c r="AS90" s="618"/>
      <c r="AU90" s="511">
        <v>12</v>
      </c>
      <c r="AV90" s="511" t="s">
        <v>366</v>
      </c>
      <c r="AW90" s="514">
        <f>F90/AU90</f>
        <v>0</v>
      </c>
      <c r="AX90" s="512">
        <f t="shared" ref="AX90:AX91" si="23">98*63*32/1000000000*1.05</f>
        <v>2.0744639999999999E-4</v>
      </c>
      <c r="AY90" s="507">
        <f t="shared" si="16"/>
        <v>0</v>
      </c>
      <c r="AZ90" s="511">
        <v>0.2</v>
      </c>
      <c r="BA90" s="511">
        <v>0.14000000000000001</v>
      </c>
      <c r="BB90" s="511">
        <v>0.1</v>
      </c>
      <c r="BC90" s="515">
        <f t="shared" ref="BC90:BC91" si="24">BB90*BA90*AZ90*AW90</f>
        <v>0</v>
      </c>
      <c r="BD90" s="189" t="s">
        <v>315</v>
      </c>
      <c r="BF90" s="447"/>
      <c r="BG90" s="442"/>
      <c r="BH90" s="442"/>
    </row>
    <row r="91" spans="1:65" s="3" customFormat="1" ht="21.75" customHeight="1">
      <c r="A91" s="115">
        <v>4627101828881</v>
      </c>
      <c r="B91" s="108">
        <v>2829</v>
      </c>
      <c r="C91" s="251" t="s">
        <v>373</v>
      </c>
      <c r="D91" s="826"/>
      <c r="E91" s="110" t="s">
        <v>222</v>
      </c>
      <c r="F91" s="248"/>
      <c r="G91" s="111"/>
      <c r="H91" s="111"/>
      <c r="I91" s="239"/>
      <c r="J91" s="238">
        <v>540</v>
      </c>
      <c r="K91" s="104">
        <f t="shared" si="17"/>
        <v>0</v>
      </c>
      <c r="L91" s="238">
        <f t="shared" si="18"/>
        <v>567</v>
      </c>
      <c r="M91" s="104">
        <f t="shared" si="12"/>
        <v>0</v>
      </c>
      <c r="N91" s="238">
        <f t="shared" si="19"/>
        <v>594</v>
      </c>
      <c r="O91" s="104">
        <f t="shared" si="20"/>
        <v>0</v>
      </c>
      <c r="P91" s="238">
        <f t="shared" si="21"/>
        <v>621</v>
      </c>
      <c r="Q91" s="104">
        <f t="shared" si="13"/>
        <v>0</v>
      </c>
      <c r="R91" s="238">
        <f t="shared" si="22"/>
        <v>675</v>
      </c>
      <c r="S91" s="104">
        <f t="shared" si="14"/>
        <v>0</v>
      </c>
      <c r="T91" s="112">
        <v>41.6</v>
      </c>
      <c r="U91" s="112">
        <f t="shared" si="15"/>
        <v>0</v>
      </c>
      <c r="V91" s="114"/>
      <c r="W91" s="301">
        <v>1025</v>
      </c>
      <c r="X91" s="446"/>
      <c r="Y91" s="565">
        <v>12</v>
      </c>
      <c r="Z91" s="478" t="s">
        <v>356</v>
      </c>
      <c r="AA91" s="541" t="s">
        <v>374</v>
      </c>
      <c r="AB91" s="537">
        <v>43704</v>
      </c>
      <c r="AC91" s="537">
        <v>45530</v>
      </c>
      <c r="AD91" s="851" t="s">
        <v>375</v>
      </c>
      <c r="AE91" s="718" t="s">
        <v>359</v>
      </c>
      <c r="AF91" s="898" t="s">
        <v>226</v>
      </c>
      <c r="AG91" s="898" t="s">
        <v>360</v>
      </c>
      <c r="AH91" s="824" t="s">
        <v>376</v>
      </c>
      <c r="AI91" s="896" t="s">
        <v>361</v>
      </c>
      <c r="AJ91" s="896"/>
      <c r="AK91" s="568">
        <v>3304990000</v>
      </c>
      <c r="AL91" s="551"/>
      <c r="AM91" s="588" t="s">
        <v>377</v>
      </c>
      <c r="AN91" s="273" t="s">
        <v>378</v>
      </c>
      <c r="AO91" s="273" t="s">
        <v>370</v>
      </c>
      <c r="AP91" s="624" t="s">
        <v>379</v>
      </c>
      <c r="AQ91" s="628" t="s">
        <v>380</v>
      </c>
      <c r="AR91" s="621"/>
      <c r="AS91" s="625" t="s">
        <v>379</v>
      </c>
      <c r="AU91" s="511">
        <v>12</v>
      </c>
      <c r="AV91" s="511" t="s">
        <v>366</v>
      </c>
      <c r="AW91" s="514">
        <f>F91/AU91</f>
        <v>0</v>
      </c>
      <c r="AX91" s="512">
        <f t="shared" si="23"/>
        <v>2.0744639999999999E-4</v>
      </c>
      <c r="AY91" s="507">
        <f t="shared" si="16"/>
        <v>0</v>
      </c>
      <c r="AZ91" s="511">
        <v>0.2</v>
      </c>
      <c r="BA91" s="511">
        <v>0.14000000000000001</v>
      </c>
      <c r="BB91" s="511">
        <v>0.1</v>
      </c>
      <c r="BC91" s="515">
        <f t="shared" si="24"/>
        <v>0</v>
      </c>
      <c r="BD91" s="189" t="s">
        <v>315</v>
      </c>
      <c r="BF91" s="447"/>
      <c r="BG91" s="442"/>
      <c r="BH91" s="442"/>
    </row>
    <row r="92" spans="1:65" s="3" customFormat="1" ht="28.5" customHeight="1">
      <c r="A92" s="115">
        <v>4627186343880</v>
      </c>
      <c r="B92" s="108">
        <v>4428</v>
      </c>
      <c r="C92" s="251" t="s">
        <v>381</v>
      </c>
      <c r="D92" s="826"/>
      <c r="E92" s="110"/>
      <c r="F92" s="326"/>
      <c r="G92" s="276"/>
      <c r="H92" s="276"/>
      <c r="I92" s="317"/>
      <c r="J92" s="275">
        <v>550</v>
      </c>
      <c r="K92" s="318">
        <f>J92*F92</f>
        <v>0</v>
      </c>
      <c r="L92" s="275">
        <f t="shared" si="18"/>
        <v>577.5</v>
      </c>
      <c r="M92" s="318">
        <f t="shared" si="12"/>
        <v>0</v>
      </c>
      <c r="N92" s="275">
        <f t="shared" si="19"/>
        <v>605</v>
      </c>
      <c r="O92" s="318">
        <f t="shared" si="20"/>
        <v>0</v>
      </c>
      <c r="P92" s="275">
        <f t="shared" si="21"/>
        <v>632.5</v>
      </c>
      <c r="Q92" s="318">
        <f t="shared" si="13"/>
        <v>0</v>
      </c>
      <c r="R92" s="275">
        <f t="shared" si="22"/>
        <v>687.5</v>
      </c>
      <c r="S92" s="318">
        <f t="shared" si="14"/>
        <v>0</v>
      </c>
      <c r="T92" s="318">
        <v>63</v>
      </c>
      <c r="U92" s="318">
        <f t="shared" si="15"/>
        <v>0</v>
      </c>
      <c r="V92" s="1025"/>
      <c r="W92" s="391">
        <v>1060</v>
      </c>
      <c r="X92" s="446"/>
      <c r="Y92" s="565">
        <v>12</v>
      </c>
      <c r="Z92" s="478" t="s">
        <v>356</v>
      </c>
      <c r="AA92" s="814" t="s">
        <v>382</v>
      </c>
      <c r="AB92" s="815">
        <v>45135</v>
      </c>
      <c r="AC92" s="815">
        <v>47691</v>
      </c>
      <c r="AD92" s="816" t="s">
        <v>383</v>
      </c>
      <c r="AE92" s="816" t="s">
        <v>384</v>
      </c>
      <c r="AF92" s="1026" t="s">
        <v>226</v>
      </c>
      <c r="AG92" s="1026" t="s">
        <v>360</v>
      </c>
      <c r="AH92" s="824" t="s">
        <v>385</v>
      </c>
      <c r="AI92" s="905" t="s">
        <v>386</v>
      </c>
      <c r="AJ92" s="905" t="s">
        <v>387</v>
      </c>
      <c r="AK92" s="574">
        <v>3304990000</v>
      </c>
      <c r="AL92" s="446"/>
      <c r="AM92" s="588" t="s">
        <v>388</v>
      </c>
      <c r="AN92" s="273" t="s">
        <v>389</v>
      </c>
      <c r="AO92" s="273" t="s">
        <v>390</v>
      </c>
      <c r="AP92" s="817" t="s">
        <v>391</v>
      </c>
      <c r="AQ92" s="1027"/>
      <c r="AR92" s="662"/>
      <c r="AS92" s="819"/>
      <c r="AU92" s="511"/>
      <c r="AV92" s="511"/>
      <c r="AW92" s="514"/>
      <c r="AX92" s="512"/>
      <c r="AY92" s="507"/>
      <c r="AZ92" s="511"/>
      <c r="BA92" s="511"/>
      <c r="BB92" s="511"/>
      <c r="BC92" s="515"/>
      <c r="BD92" s="189"/>
      <c r="BF92" s="447"/>
      <c r="BG92" s="442"/>
      <c r="BH92" s="442"/>
    </row>
    <row r="93" spans="1:65" s="3" customFormat="1" ht="22.5" customHeight="1">
      <c r="A93" s="115">
        <v>4627101829734</v>
      </c>
      <c r="B93" s="108">
        <v>3265</v>
      </c>
      <c r="C93" s="251" t="s">
        <v>392</v>
      </c>
      <c r="D93" s="826"/>
      <c r="E93" s="110" t="s">
        <v>208</v>
      </c>
      <c r="F93" s="248"/>
      <c r="G93" s="111"/>
      <c r="H93" s="111"/>
      <c r="I93" s="239"/>
      <c r="J93" s="238">
        <v>345</v>
      </c>
      <c r="K93" s="104">
        <f t="shared" si="17"/>
        <v>0</v>
      </c>
      <c r="L93" s="238">
        <f t="shared" si="18"/>
        <v>362.25</v>
      </c>
      <c r="M93" s="104">
        <f t="shared" si="12"/>
        <v>0</v>
      </c>
      <c r="N93" s="238">
        <f t="shared" si="19"/>
        <v>379.5</v>
      </c>
      <c r="O93" s="104">
        <f t="shared" si="20"/>
        <v>0</v>
      </c>
      <c r="P93" s="238">
        <f t="shared" si="21"/>
        <v>396.75</v>
      </c>
      <c r="Q93" s="104">
        <f t="shared" si="13"/>
        <v>0</v>
      </c>
      <c r="R93" s="238">
        <f t="shared" si="22"/>
        <v>431.25</v>
      </c>
      <c r="S93" s="104">
        <f t="shared" si="14"/>
        <v>0</v>
      </c>
      <c r="T93" s="112">
        <v>45</v>
      </c>
      <c r="U93" s="112">
        <f t="shared" si="15"/>
        <v>0</v>
      </c>
      <c r="V93" s="114"/>
      <c r="W93" s="301">
        <v>655</v>
      </c>
      <c r="X93" s="446"/>
      <c r="Y93" s="565">
        <v>12</v>
      </c>
      <c r="Z93" s="286">
        <v>3</v>
      </c>
      <c r="AA93" s="541" t="s">
        <v>357</v>
      </c>
      <c r="AB93" s="537">
        <v>44907</v>
      </c>
      <c r="AC93" s="537">
        <v>47460</v>
      </c>
      <c r="AD93" s="718" t="s">
        <v>358</v>
      </c>
      <c r="AE93" s="718" t="s">
        <v>359</v>
      </c>
      <c r="AF93" s="898" t="s">
        <v>226</v>
      </c>
      <c r="AG93" s="898" t="s">
        <v>360</v>
      </c>
      <c r="AH93" s="824" t="s">
        <v>393</v>
      </c>
      <c r="AI93" s="896" t="s">
        <v>394</v>
      </c>
      <c r="AJ93" s="896"/>
      <c r="AK93" s="568">
        <v>3304990000</v>
      </c>
      <c r="AL93" s="551"/>
      <c r="AM93" s="588" t="s">
        <v>395</v>
      </c>
      <c r="AN93" s="273" t="s">
        <v>396</v>
      </c>
      <c r="AO93" s="273" t="s">
        <v>397</v>
      </c>
      <c r="AP93" s="624" t="s">
        <v>398</v>
      </c>
      <c r="AQ93" s="617" t="s">
        <v>399</v>
      </c>
      <c r="AR93" s="621"/>
      <c r="AS93" s="625"/>
      <c r="AU93" s="511"/>
      <c r="AV93" s="511"/>
      <c r="AW93" s="511"/>
      <c r="AX93" s="512"/>
      <c r="AY93" s="507">
        <f t="shared" si="16"/>
        <v>0</v>
      </c>
      <c r="AZ93" s="511"/>
      <c r="BA93" s="511"/>
      <c r="BB93" s="511"/>
      <c r="BC93" s="189"/>
      <c r="BD93" s="189"/>
      <c r="BF93" s="447"/>
      <c r="BG93" s="442"/>
      <c r="BH93" s="442"/>
    </row>
    <row r="94" spans="1:65" s="3" customFormat="1" ht="22.5" customHeight="1">
      <c r="A94" s="115">
        <v>4627101825552</v>
      </c>
      <c r="B94" s="108">
        <v>1228</v>
      </c>
      <c r="C94" s="251" t="s">
        <v>400</v>
      </c>
      <c r="D94" s="826"/>
      <c r="E94" s="110" t="s">
        <v>401</v>
      </c>
      <c r="F94" s="248"/>
      <c r="G94" s="111"/>
      <c r="H94" s="111"/>
      <c r="I94" s="239"/>
      <c r="J94" s="238">
        <v>440</v>
      </c>
      <c r="K94" s="104">
        <f t="shared" si="17"/>
        <v>0</v>
      </c>
      <c r="L94" s="238">
        <f t="shared" si="18"/>
        <v>462</v>
      </c>
      <c r="M94" s="104">
        <f t="shared" si="12"/>
        <v>0</v>
      </c>
      <c r="N94" s="238">
        <f t="shared" si="19"/>
        <v>484</v>
      </c>
      <c r="O94" s="104">
        <f t="shared" si="20"/>
        <v>0</v>
      </c>
      <c r="P94" s="238">
        <f t="shared" si="21"/>
        <v>506</v>
      </c>
      <c r="Q94" s="104">
        <f t="shared" si="13"/>
        <v>0</v>
      </c>
      <c r="R94" s="238">
        <f t="shared" si="22"/>
        <v>550</v>
      </c>
      <c r="S94" s="104">
        <f t="shared" si="14"/>
        <v>0</v>
      </c>
      <c r="T94" s="112">
        <v>120</v>
      </c>
      <c r="U94" s="112">
        <f t="shared" si="15"/>
        <v>0</v>
      </c>
      <c r="V94" s="114"/>
      <c r="W94" s="301">
        <v>835</v>
      </c>
      <c r="X94" s="446"/>
      <c r="Y94" s="565">
        <v>12</v>
      </c>
      <c r="Z94" s="286">
        <v>3</v>
      </c>
      <c r="AA94" s="541" t="s">
        <v>357</v>
      </c>
      <c r="AB94" s="537">
        <v>44907</v>
      </c>
      <c r="AC94" s="537">
        <v>47460</v>
      </c>
      <c r="AD94" s="718" t="s">
        <v>358</v>
      </c>
      <c r="AE94" s="718" t="s">
        <v>359</v>
      </c>
      <c r="AF94" s="898" t="s">
        <v>226</v>
      </c>
      <c r="AG94" s="898" t="s">
        <v>360</v>
      </c>
      <c r="AH94" s="824" t="s">
        <v>402</v>
      </c>
      <c r="AI94" s="896" t="s">
        <v>403</v>
      </c>
      <c r="AJ94" s="896"/>
      <c r="AK94" s="568">
        <v>3304990000</v>
      </c>
      <c r="AL94" s="551"/>
      <c r="AM94" s="588" t="s">
        <v>395</v>
      </c>
      <c r="AN94" s="273" t="s">
        <v>396</v>
      </c>
      <c r="AO94" s="273" t="s">
        <v>397</v>
      </c>
      <c r="AP94" s="620" t="s">
        <v>404</v>
      </c>
      <c r="AQ94" s="617" t="s">
        <v>399</v>
      </c>
      <c r="AR94" s="621"/>
      <c r="AS94" s="618"/>
      <c r="AU94" s="511"/>
      <c r="AV94" s="511"/>
      <c r="AW94" s="511"/>
      <c r="AX94" s="512">
        <f>137*39*39/1000000000</f>
        <v>2.0837699999999999E-4</v>
      </c>
      <c r="AY94" s="507">
        <f t="shared" si="16"/>
        <v>0</v>
      </c>
      <c r="AZ94" s="511">
        <v>14</v>
      </c>
      <c r="BA94" s="511">
        <v>12</v>
      </c>
      <c r="BB94" s="511">
        <v>16</v>
      </c>
      <c r="BC94" s="189" t="s">
        <v>405</v>
      </c>
      <c r="BD94" s="189" t="s">
        <v>264</v>
      </c>
      <c r="BF94" s="447"/>
      <c r="BG94" s="442" t="s">
        <v>406</v>
      </c>
      <c r="BH94" s="442" t="s">
        <v>407</v>
      </c>
      <c r="BK94" s="42" t="s">
        <v>408</v>
      </c>
      <c r="BL94" s="3" t="s">
        <v>409</v>
      </c>
      <c r="BM94" s="3" t="s">
        <v>410</v>
      </c>
    </row>
    <row r="95" spans="1:65" s="3" customFormat="1" ht="22.5" customHeight="1">
      <c r="A95" s="115">
        <v>4627101829741</v>
      </c>
      <c r="B95" s="108">
        <v>3266</v>
      </c>
      <c r="C95" s="251" t="s">
        <v>411</v>
      </c>
      <c r="D95" s="826"/>
      <c r="E95" s="110" t="s">
        <v>208</v>
      </c>
      <c r="F95" s="248"/>
      <c r="G95" s="111"/>
      <c r="H95" s="111"/>
      <c r="I95" s="239"/>
      <c r="J95" s="238">
        <v>325</v>
      </c>
      <c r="K95" s="104">
        <f t="shared" si="17"/>
        <v>0</v>
      </c>
      <c r="L95" s="238">
        <f t="shared" si="18"/>
        <v>341.25</v>
      </c>
      <c r="M95" s="104">
        <f t="shared" si="12"/>
        <v>0</v>
      </c>
      <c r="N95" s="238">
        <f t="shared" si="19"/>
        <v>357.5</v>
      </c>
      <c r="O95" s="104">
        <f t="shared" si="20"/>
        <v>0</v>
      </c>
      <c r="P95" s="238">
        <f t="shared" si="21"/>
        <v>373.75</v>
      </c>
      <c r="Q95" s="104">
        <f t="shared" si="13"/>
        <v>0</v>
      </c>
      <c r="R95" s="238">
        <f t="shared" si="22"/>
        <v>406.25</v>
      </c>
      <c r="S95" s="104">
        <f t="shared" si="14"/>
        <v>0</v>
      </c>
      <c r="T95" s="112">
        <v>45</v>
      </c>
      <c r="U95" s="112">
        <f t="shared" si="15"/>
        <v>0</v>
      </c>
      <c r="V95" s="114"/>
      <c r="W95" s="301">
        <v>615</v>
      </c>
      <c r="X95" s="446"/>
      <c r="Y95" s="565">
        <v>12</v>
      </c>
      <c r="Z95" s="286">
        <v>3</v>
      </c>
      <c r="AA95" s="541" t="s">
        <v>357</v>
      </c>
      <c r="AB95" s="537">
        <v>44907</v>
      </c>
      <c r="AC95" s="537">
        <v>47460</v>
      </c>
      <c r="AD95" s="718" t="s">
        <v>358</v>
      </c>
      <c r="AE95" s="718" t="s">
        <v>359</v>
      </c>
      <c r="AF95" s="898" t="s">
        <v>290</v>
      </c>
      <c r="AG95" s="898" t="s">
        <v>360</v>
      </c>
      <c r="AH95" s="824" t="s">
        <v>393</v>
      </c>
      <c r="AI95" s="896" t="s">
        <v>394</v>
      </c>
      <c r="AJ95" s="896"/>
      <c r="AK95" s="568">
        <v>3304990000</v>
      </c>
      <c r="AL95" s="551"/>
      <c r="AM95" s="588" t="s">
        <v>412</v>
      </c>
      <c r="AN95" s="273" t="s">
        <v>413</v>
      </c>
      <c r="AO95" s="273" t="s">
        <v>414</v>
      </c>
      <c r="AP95" s="620" t="s">
        <v>415</v>
      </c>
      <c r="AQ95" s="617" t="s">
        <v>416</v>
      </c>
      <c r="AR95" s="621"/>
      <c r="AS95" s="618"/>
      <c r="AU95" s="511"/>
      <c r="AV95" s="511"/>
      <c r="AW95" s="511"/>
      <c r="AX95" s="512"/>
      <c r="AY95" s="507">
        <f t="shared" si="16"/>
        <v>0</v>
      </c>
      <c r="AZ95" s="511"/>
      <c r="BA95" s="511"/>
      <c r="BB95" s="511"/>
      <c r="BC95" s="189"/>
      <c r="BD95" s="189"/>
      <c r="BF95" s="447"/>
      <c r="BG95" s="442"/>
      <c r="BH95" s="442"/>
      <c r="BK95" s="42"/>
    </row>
    <row r="96" spans="1:65" s="3" customFormat="1" ht="22.5" customHeight="1">
      <c r="A96" s="115">
        <v>4627101825576</v>
      </c>
      <c r="B96" s="108">
        <v>1448</v>
      </c>
      <c r="C96" s="251" t="s">
        <v>417</v>
      </c>
      <c r="D96" s="826"/>
      <c r="E96" s="110" t="s">
        <v>401</v>
      </c>
      <c r="F96" s="248"/>
      <c r="G96" s="111"/>
      <c r="H96" s="111"/>
      <c r="I96" s="239"/>
      <c r="J96" s="238">
        <v>440</v>
      </c>
      <c r="K96" s="104">
        <f t="shared" si="17"/>
        <v>0</v>
      </c>
      <c r="L96" s="238">
        <f t="shared" si="18"/>
        <v>462</v>
      </c>
      <c r="M96" s="104">
        <f t="shared" si="12"/>
        <v>0</v>
      </c>
      <c r="N96" s="238">
        <f t="shared" si="19"/>
        <v>484</v>
      </c>
      <c r="O96" s="104">
        <f t="shared" si="20"/>
        <v>0</v>
      </c>
      <c r="P96" s="238">
        <f t="shared" si="21"/>
        <v>506</v>
      </c>
      <c r="Q96" s="104">
        <f t="shared" si="13"/>
        <v>0</v>
      </c>
      <c r="R96" s="238">
        <f t="shared" si="22"/>
        <v>550</v>
      </c>
      <c r="S96" s="104">
        <f t="shared" si="14"/>
        <v>0</v>
      </c>
      <c r="T96" s="112">
        <v>120</v>
      </c>
      <c r="U96" s="112">
        <f t="shared" si="15"/>
        <v>0</v>
      </c>
      <c r="V96" s="114"/>
      <c r="W96" s="301">
        <v>835</v>
      </c>
      <c r="X96" s="446"/>
      <c r="Y96" s="565">
        <v>12</v>
      </c>
      <c r="Z96" s="286">
        <v>3</v>
      </c>
      <c r="AA96" s="541" t="s">
        <v>357</v>
      </c>
      <c r="AB96" s="537">
        <v>44907</v>
      </c>
      <c r="AC96" s="537">
        <v>47460</v>
      </c>
      <c r="AD96" s="718" t="s">
        <v>358</v>
      </c>
      <c r="AE96" s="718" t="s">
        <v>359</v>
      </c>
      <c r="AF96" s="898" t="s">
        <v>290</v>
      </c>
      <c r="AG96" s="898" t="s">
        <v>360</v>
      </c>
      <c r="AH96" s="824" t="s">
        <v>402</v>
      </c>
      <c r="AI96" s="896" t="s">
        <v>403</v>
      </c>
      <c r="AJ96" s="896"/>
      <c r="AK96" s="568">
        <v>3304990000</v>
      </c>
      <c r="AL96" s="551"/>
      <c r="AM96" s="588" t="s">
        <v>412</v>
      </c>
      <c r="AN96" s="273" t="s">
        <v>413</v>
      </c>
      <c r="AO96" s="273" t="s">
        <v>414</v>
      </c>
      <c r="AP96" s="620" t="s">
        <v>418</v>
      </c>
      <c r="AQ96" s="617" t="s">
        <v>416</v>
      </c>
      <c r="AR96" s="621"/>
      <c r="AS96" s="618"/>
      <c r="AU96" s="511"/>
      <c r="AV96" s="511"/>
      <c r="AW96" s="511"/>
      <c r="AX96" s="512">
        <f>137*39*39/1000000000</f>
        <v>2.0837699999999999E-4</v>
      </c>
      <c r="AY96" s="507">
        <f t="shared" si="16"/>
        <v>0</v>
      </c>
      <c r="AZ96" s="511">
        <v>14</v>
      </c>
      <c r="BA96" s="511">
        <v>12</v>
      </c>
      <c r="BB96" s="511">
        <v>16</v>
      </c>
      <c r="BC96" s="189"/>
      <c r="BD96" s="189" t="s">
        <v>264</v>
      </c>
      <c r="BF96" s="447"/>
      <c r="BG96" s="442" t="s">
        <v>406</v>
      </c>
      <c r="BH96" s="442" t="s">
        <v>407</v>
      </c>
    </row>
    <row r="97" spans="1:72" s="3" customFormat="1" ht="23.25" customHeight="1">
      <c r="A97" s="115">
        <v>4627186340728</v>
      </c>
      <c r="B97" s="108">
        <v>3580</v>
      </c>
      <c r="C97" s="251" t="s">
        <v>419</v>
      </c>
      <c r="D97" s="826"/>
      <c r="E97" s="110" t="s">
        <v>420</v>
      </c>
      <c r="F97" s="248"/>
      <c r="G97" s="111"/>
      <c r="H97" s="111"/>
      <c r="I97" s="239"/>
      <c r="J97" s="238">
        <v>525</v>
      </c>
      <c r="K97" s="104">
        <f>J97*F97</f>
        <v>0</v>
      </c>
      <c r="L97" s="238">
        <f t="shared" si="18"/>
        <v>551.25</v>
      </c>
      <c r="M97" s="104">
        <f>L97*F97</f>
        <v>0</v>
      </c>
      <c r="N97" s="238">
        <f t="shared" si="19"/>
        <v>577.5</v>
      </c>
      <c r="O97" s="104">
        <f>N97*F97</f>
        <v>0</v>
      </c>
      <c r="P97" s="238">
        <f t="shared" si="21"/>
        <v>603.75</v>
      </c>
      <c r="Q97" s="104">
        <f>P97*F97</f>
        <v>0</v>
      </c>
      <c r="R97" s="238">
        <f t="shared" si="22"/>
        <v>656.25</v>
      </c>
      <c r="S97" s="104">
        <f>R97*F97</f>
        <v>0</v>
      </c>
      <c r="T97" s="112">
        <v>90</v>
      </c>
      <c r="U97" s="112">
        <f>T97*F97</f>
        <v>0</v>
      </c>
      <c r="V97" s="114"/>
      <c r="W97" s="301">
        <v>995</v>
      </c>
      <c r="X97" s="446"/>
      <c r="Y97" s="565">
        <v>9</v>
      </c>
      <c r="Z97" s="286">
        <v>3</v>
      </c>
      <c r="AA97" s="775" t="s">
        <v>421</v>
      </c>
      <c r="AB97" s="537">
        <v>44553</v>
      </c>
      <c r="AC97" s="537">
        <v>46378</v>
      </c>
      <c r="AD97" s="715" t="s">
        <v>422</v>
      </c>
      <c r="AE97" s="718" t="s">
        <v>359</v>
      </c>
      <c r="AF97" s="899" t="s">
        <v>226</v>
      </c>
      <c r="AG97" s="899" t="s">
        <v>323</v>
      </c>
      <c r="AH97" s="824" t="s">
        <v>165</v>
      </c>
      <c r="AI97" s="896" t="s">
        <v>423</v>
      </c>
      <c r="AJ97" s="896"/>
      <c r="AK97" s="568">
        <v>3304990000</v>
      </c>
      <c r="AL97" s="551"/>
      <c r="AM97" s="588" t="s">
        <v>424</v>
      </c>
      <c r="AN97" s="273" t="s">
        <v>425</v>
      </c>
      <c r="AO97" s="273" t="s">
        <v>426</v>
      </c>
      <c r="AP97" s="620" t="s">
        <v>427</v>
      </c>
      <c r="AQ97" s="613" t="s">
        <v>428</v>
      </c>
      <c r="AR97" s="621"/>
      <c r="AS97" s="618"/>
      <c r="AU97" s="511">
        <v>12</v>
      </c>
      <c r="AV97" s="511" t="s">
        <v>366</v>
      </c>
      <c r="AW97" s="514">
        <f>F97/AU97</f>
        <v>0</v>
      </c>
      <c r="AX97" s="512">
        <f>98*63*32/1000000000*1.05</f>
        <v>2.0744639999999999E-4</v>
      </c>
      <c r="AY97" s="507">
        <f t="shared" si="16"/>
        <v>0</v>
      </c>
      <c r="AZ97" s="511">
        <v>0.2</v>
      </c>
      <c r="BA97" s="511">
        <v>0.14000000000000001</v>
      </c>
      <c r="BB97" s="511">
        <v>0.1</v>
      </c>
      <c r="BC97" s="515">
        <f>BB97*BA97*AZ97*AW97</f>
        <v>0</v>
      </c>
      <c r="BD97" s="189"/>
      <c r="BF97" s="447"/>
      <c r="BG97" s="442"/>
      <c r="BH97" s="442"/>
    </row>
    <row r="98" spans="1:72" s="3" customFormat="1" ht="29.25" customHeight="1">
      <c r="A98" s="115">
        <v>4627186343897</v>
      </c>
      <c r="B98" s="108">
        <v>4429</v>
      </c>
      <c r="C98" s="251" t="s">
        <v>429</v>
      </c>
      <c r="D98" s="826"/>
      <c r="E98" s="110"/>
      <c r="F98" s="326"/>
      <c r="G98" s="276"/>
      <c r="H98" s="276"/>
      <c r="I98" s="317"/>
      <c r="J98" s="275">
        <v>610</v>
      </c>
      <c r="K98" s="318">
        <f>J98*F98</f>
        <v>0</v>
      </c>
      <c r="L98" s="275">
        <f t="shared" si="18"/>
        <v>640.5</v>
      </c>
      <c r="M98" s="318">
        <f>L98*F98</f>
        <v>0</v>
      </c>
      <c r="N98" s="275">
        <f t="shared" si="19"/>
        <v>671</v>
      </c>
      <c r="O98" s="318">
        <f>N98*F98</f>
        <v>0</v>
      </c>
      <c r="P98" s="275">
        <f t="shared" si="21"/>
        <v>701.5</v>
      </c>
      <c r="Q98" s="318">
        <f>P98*F98</f>
        <v>0</v>
      </c>
      <c r="R98" s="275">
        <f t="shared" si="22"/>
        <v>762.5</v>
      </c>
      <c r="S98" s="318">
        <f>R98*F98</f>
        <v>0</v>
      </c>
      <c r="T98" s="318">
        <v>82</v>
      </c>
      <c r="U98" s="318">
        <f>T98*F98</f>
        <v>0</v>
      </c>
      <c r="V98" s="1025"/>
      <c r="W98" s="391">
        <v>1150</v>
      </c>
      <c r="X98" s="446"/>
      <c r="Y98" s="565">
        <v>12</v>
      </c>
      <c r="Z98" s="478" t="s">
        <v>356</v>
      </c>
      <c r="AA98" s="1028" t="s">
        <v>382</v>
      </c>
      <c r="AB98" s="815">
        <v>45135</v>
      </c>
      <c r="AC98" s="815">
        <v>47691</v>
      </c>
      <c r="AD98" s="714" t="s">
        <v>430</v>
      </c>
      <c r="AE98" s="816" t="s">
        <v>384</v>
      </c>
      <c r="AF98" s="1029" t="s">
        <v>226</v>
      </c>
      <c r="AG98" s="1029" t="s">
        <v>360</v>
      </c>
      <c r="AH98" s="824" t="s">
        <v>431</v>
      </c>
      <c r="AI98" s="905" t="s">
        <v>432</v>
      </c>
      <c r="AJ98" s="905" t="s">
        <v>433</v>
      </c>
      <c r="AK98" s="574">
        <v>3304990000</v>
      </c>
      <c r="AL98" s="446"/>
      <c r="AM98" s="588" t="s">
        <v>434</v>
      </c>
      <c r="AN98" s="273" t="s">
        <v>435</v>
      </c>
      <c r="AO98" s="273" t="s">
        <v>436</v>
      </c>
      <c r="AP98" s="1030" t="s">
        <v>437</v>
      </c>
      <c r="AQ98" s="611"/>
      <c r="AR98" s="662"/>
      <c r="AS98" s="1031"/>
      <c r="AU98" s="511"/>
      <c r="AV98" s="511"/>
      <c r="AW98" s="514"/>
      <c r="AX98" s="512"/>
      <c r="AY98" s="507"/>
      <c r="AZ98" s="511"/>
      <c r="BA98" s="511"/>
      <c r="BB98" s="511"/>
      <c r="BC98" s="515"/>
      <c r="BD98" s="189"/>
      <c r="BF98" s="447"/>
      <c r="BG98" s="442"/>
      <c r="BH98" s="442"/>
    </row>
    <row r="99" spans="1:72" s="3" customFormat="1" ht="22.5" customHeight="1">
      <c r="A99" s="115">
        <v>4627186344979</v>
      </c>
      <c r="B99" s="108">
        <v>4609</v>
      </c>
      <c r="C99" s="1043" t="s">
        <v>438</v>
      </c>
      <c r="D99" s="826"/>
      <c r="E99" s="110"/>
      <c r="F99" s="326"/>
      <c r="G99" s="276"/>
      <c r="H99" s="276"/>
      <c r="I99" s="317"/>
      <c r="J99" s="275">
        <v>580</v>
      </c>
      <c r="K99" s="318">
        <f>J99*F99</f>
        <v>0</v>
      </c>
      <c r="L99" s="275">
        <f t="shared" si="18"/>
        <v>609</v>
      </c>
      <c r="M99" s="318">
        <f>L99*F99</f>
        <v>0</v>
      </c>
      <c r="N99" s="275">
        <f t="shared" si="19"/>
        <v>638</v>
      </c>
      <c r="O99" s="318">
        <f>N99*F99</f>
        <v>0</v>
      </c>
      <c r="P99" s="275">
        <f t="shared" si="21"/>
        <v>667</v>
      </c>
      <c r="Q99" s="318">
        <f>P99*F99</f>
        <v>0</v>
      </c>
      <c r="R99" s="275">
        <f t="shared" si="22"/>
        <v>725</v>
      </c>
      <c r="S99" s="318">
        <f>R99*F99</f>
        <v>0</v>
      </c>
      <c r="T99" s="318"/>
      <c r="U99" s="318"/>
      <c r="V99" s="1025"/>
      <c r="W99" s="391">
        <v>1100</v>
      </c>
      <c r="X99" s="446"/>
      <c r="Y99" s="565">
        <v>12</v>
      </c>
      <c r="Z99" s="478"/>
      <c r="AA99" s="541" t="s">
        <v>439</v>
      </c>
      <c r="AB99" s="536">
        <v>45273</v>
      </c>
      <c r="AC99" s="536">
        <v>47829</v>
      </c>
      <c r="AD99" s="714" t="s">
        <v>440</v>
      </c>
      <c r="AE99" s="816"/>
      <c r="AF99" s="1029"/>
      <c r="AG99" s="1029"/>
      <c r="AH99" s="824"/>
      <c r="AI99" s="905"/>
      <c r="AJ99" s="905"/>
      <c r="AK99" s="574"/>
      <c r="AL99" s="446"/>
      <c r="AM99" s="588"/>
      <c r="AN99" s="273"/>
      <c r="AO99" s="273"/>
      <c r="AP99" s="1030"/>
      <c r="AQ99" s="611"/>
      <c r="AR99" s="662"/>
      <c r="AS99" s="1031"/>
      <c r="AU99" s="511"/>
      <c r="AV99" s="511"/>
      <c r="AW99" s="514"/>
      <c r="AX99" s="512"/>
      <c r="AY99" s="507"/>
      <c r="AZ99" s="511"/>
      <c r="BA99" s="511"/>
      <c r="BB99" s="511"/>
      <c r="BC99" s="515"/>
      <c r="BD99" s="189"/>
      <c r="BF99" s="447"/>
      <c r="BG99" s="442"/>
      <c r="BH99" s="442"/>
    </row>
    <row r="100" spans="1:72" s="3" customFormat="1" ht="22.5" customHeight="1">
      <c r="A100" s="115">
        <v>4627186340926</v>
      </c>
      <c r="B100" s="108">
        <v>3615</v>
      </c>
      <c r="C100" s="251" t="s">
        <v>441</v>
      </c>
      <c r="D100" s="826"/>
      <c r="E100" s="110" t="s">
        <v>401</v>
      </c>
      <c r="F100" s="248"/>
      <c r="G100" s="111"/>
      <c r="H100" s="111"/>
      <c r="I100" s="239"/>
      <c r="J100" s="238">
        <v>425</v>
      </c>
      <c r="K100" s="104">
        <f>J100*F100</f>
        <v>0</v>
      </c>
      <c r="L100" s="238">
        <f t="shared" si="18"/>
        <v>446.25</v>
      </c>
      <c r="M100" s="104">
        <f>L100*F100</f>
        <v>0</v>
      </c>
      <c r="N100" s="238">
        <f t="shared" si="19"/>
        <v>467.5</v>
      </c>
      <c r="O100" s="104">
        <f>N100*F100</f>
        <v>0</v>
      </c>
      <c r="P100" s="238">
        <f t="shared" si="21"/>
        <v>488.75</v>
      </c>
      <c r="Q100" s="104">
        <f>P100*F100</f>
        <v>0</v>
      </c>
      <c r="R100" s="238">
        <f t="shared" si="22"/>
        <v>531.25</v>
      </c>
      <c r="S100" s="104">
        <f>R100*F100</f>
        <v>0</v>
      </c>
      <c r="T100" s="112">
        <v>30</v>
      </c>
      <c r="U100" s="112">
        <f>T100*F100</f>
        <v>0</v>
      </c>
      <c r="V100" s="114"/>
      <c r="W100" s="301">
        <v>805</v>
      </c>
      <c r="X100" s="446"/>
      <c r="Y100" s="565">
        <v>12</v>
      </c>
      <c r="Z100" s="286">
        <v>3</v>
      </c>
      <c r="AA100" s="541" t="s">
        <v>442</v>
      </c>
      <c r="AB100" s="536">
        <v>44553</v>
      </c>
      <c r="AC100" s="536">
        <v>46378</v>
      </c>
      <c r="AD100" s="714" t="s">
        <v>443</v>
      </c>
      <c r="AE100" s="718" t="s">
        <v>359</v>
      </c>
      <c r="AF100" s="897" t="s">
        <v>444</v>
      </c>
      <c r="AG100" s="897" t="s">
        <v>360</v>
      </c>
      <c r="AH100" s="824" t="s">
        <v>445</v>
      </c>
      <c r="AI100" s="896" t="s">
        <v>403</v>
      </c>
      <c r="AJ100" s="896"/>
      <c r="AK100" s="568">
        <v>3304990000</v>
      </c>
      <c r="AL100" s="551"/>
      <c r="AM100" s="588" t="s">
        <v>446</v>
      </c>
      <c r="AN100" s="273" t="s">
        <v>447</v>
      </c>
      <c r="AO100" s="273" t="s">
        <v>448</v>
      </c>
      <c r="AP100" s="620" t="s">
        <v>449</v>
      </c>
      <c r="AQ100" s="613" t="s">
        <v>450</v>
      </c>
      <c r="AR100" s="621"/>
      <c r="AS100" s="618"/>
      <c r="AU100" s="511"/>
      <c r="AV100" s="511"/>
      <c r="AW100" s="511"/>
      <c r="AX100" s="512"/>
      <c r="AY100" s="507">
        <f t="shared" si="16"/>
        <v>0</v>
      </c>
      <c r="AZ100" s="511"/>
      <c r="BA100" s="511"/>
      <c r="BB100" s="511"/>
      <c r="BC100" s="189"/>
      <c r="BD100" s="189"/>
      <c r="BF100" s="447"/>
      <c r="BG100" s="442"/>
      <c r="BH100" s="442"/>
    </row>
    <row r="101" spans="1:72" s="3" customFormat="1" ht="22.5" customHeight="1">
      <c r="A101" s="115">
        <v>4627186340971</v>
      </c>
      <c r="B101" s="108">
        <v>3655</v>
      </c>
      <c r="C101" s="251" t="s">
        <v>451</v>
      </c>
      <c r="D101" s="826"/>
      <c r="E101" s="110" t="s">
        <v>287</v>
      </c>
      <c r="F101" s="248"/>
      <c r="G101" s="111"/>
      <c r="H101" s="111"/>
      <c r="I101" s="239"/>
      <c r="J101" s="238">
        <v>415</v>
      </c>
      <c r="K101" s="104">
        <f>J101*F101</f>
        <v>0</v>
      </c>
      <c r="L101" s="238">
        <f t="shared" si="18"/>
        <v>435.75</v>
      </c>
      <c r="M101" s="104">
        <f>L101*F101</f>
        <v>0</v>
      </c>
      <c r="N101" s="238">
        <f t="shared" si="19"/>
        <v>456.5</v>
      </c>
      <c r="O101" s="104">
        <f>N101*F101</f>
        <v>0</v>
      </c>
      <c r="P101" s="238">
        <f t="shared" si="21"/>
        <v>477.25</v>
      </c>
      <c r="Q101" s="104">
        <f>P101*F101</f>
        <v>0</v>
      </c>
      <c r="R101" s="238">
        <f t="shared" si="22"/>
        <v>518.75</v>
      </c>
      <c r="S101" s="104">
        <f>R101*F101</f>
        <v>0</v>
      </c>
      <c r="T101" s="112">
        <v>225</v>
      </c>
      <c r="U101" s="112">
        <f>T101*F101</f>
        <v>0</v>
      </c>
      <c r="V101" s="114"/>
      <c r="W101" s="301">
        <v>785</v>
      </c>
      <c r="X101" s="446"/>
      <c r="Y101" s="565">
        <v>12</v>
      </c>
      <c r="Z101" s="286">
        <v>3</v>
      </c>
      <c r="AA101" s="541" t="s">
        <v>442</v>
      </c>
      <c r="AB101" s="536">
        <v>44553</v>
      </c>
      <c r="AC101" s="536">
        <v>46378</v>
      </c>
      <c r="AD101" s="714" t="s">
        <v>443</v>
      </c>
      <c r="AE101" s="714" t="s">
        <v>141</v>
      </c>
      <c r="AF101" s="897" t="s">
        <v>452</v>
      </c>
      <c r="AG101" s="897" t="s">
        <v>360</v>
      </c>
      <c r="AH101" s="824" t="s">
        <v>453</v>
      </c>
      <c r="AI101" s="896" t="s">
        <v>454</v>
      </c>
      <c r="AJ101" s="896"/>
      <c r="AK101" s="568">
        <v>3304990000</v>
      </c>
      <c r="AL101" s="551"/>
      <c r="AM101" s="588" t="s">
        <v>455</v>
      </c>
      <c r="AN101" s="273" t="s">
        <v>456</v>
      </c>
      <c r="AO101" s="273" t="s">
        <v>457</v>
      </c>
      <c r="AP101" s="620" t="s">
        <v>458</v>
      </c>
      <c r="AQ101" s="613" t="s">
        <v>459</v>
      </c>
      <c r="AR101" s="621"/>
      <c r="AS101" s="618"/>
      <c r="AU101" s="511"/>
      <c r="AV101" s="511"/>
      <c r="AW101" s="511"/>
      <c r="AX101" s="512"/>
      <c r="AY101" s="507">
        <f t="shared" si="16"/>
        <v>0</v>
      </c>
      <c r="AZ101" s="511"/>
      <c r="BA101" s="511"/>
      <c r="BB101" s="511"/>
      <c r="BC101" s="189"/>
      <c r="BD101" s="189"/>
      <c r="BF101" s="447"/>
      <c r="BG101" s="442"/>
      <c r="BH101" s="442"/>
    </row>
    <row r="102" spans="1:72" s="3" customFormat="1" ht="24" customHeight="1">
      <c r="A102" s="485" t="s">
        <v>156</v>
      </c>
      <c r="B102" s="274"/>
      <c r="C102" s="271" t="s">
        <v>460</v>
      </c>
      <c r="D102" s="827"/>
      <c r="E102" s="270"/>
      <c r="F102" s="491"/>
      <c r="G102" s="308"/>
      <c r="H102" s="309"/>
      <c r="I102" s="310"/>
      <c r="J102" s="311"/>
      <c r="K102" s="488">
        <f>K105+K106+K108+K109+K110+K111+K112+K113+K114+K115+K116+K117+K118+K119+K104+K107+K103</f>
        <v>0</v>
      </c>
      <c r="L102" s="489"/>
      <c r="M102" s="488">
        <f>M105+M106+M108+M109+M110+M111+M112+M113+M114+M115+M116+M117+M118+M119+M104+M107+M103</f>
        <v>0</v>
      </c>
      <c r="N102" s="489"/>
      <c r="O102" s="488">
        <f>O105+O106+O108+O109+O110+O111+O112+O113+O114+O115+O116+O117+O118+O119+O104+O107+O103</f>
        <v>0</v>
      </c>
      <c r="P102" s="489"/>
      <c r="Q102" s="488">
        <f>Q105+Q106+Q108+Q109+Q110+Q111+Q112+Q113+Q114+Q115+Q116+Q117+Q118+Q119+Q104+Q107+Q103</f>
        <v>0</v>
      </c>
      <c r="R102" s="489"/>
      <c r="S102" s="488">
        <f>S105+S106+S108+S109+S110+S111+S112+S113+S114+S115+S116+S117+S118+S119+S104+S107+S103</f>
        <v>0</v>
      </c>
      <c r="T102" s="313"/>
      <c r="U102" s="313">
        <f>U104+U105+U106+U108+U110+U111+U112+U113+U114+U115+U116+U117+U118+U119</f>
        <v>0</v>
      </c>
      <c r="V102" s="293"/>
      <c r="W102" s="293"/>
      <c r="X102" s="446"/>
      <c r="Y102" s="562"/>
      <c r="Z102" s="293"/>
      <c r="AA102" s="772"/>
      <c r="AB102" s="543"/>
      <c r="AC102" s="543"/>
      <c r="AD102" s="716"/>
      <c r="AE102" s="716"/>
      <c r="AF102" s="701"/>
      <c r="AG102" s="701"/>
      <c r="AH102" s="546"/>
      <c r="AI102" s="675"/>
      <c r="AJ102" s="293"/>
      <c r="AK102" s="563"/>
      <c r="AL102" s="554"/>
      <c r="AM102" s="562"/>
      <c r="AN102" s="293"/>
      <c r="AO102" s="293"/>
      <c r="AP102" s="293"/>
      <c r="AQ102" s="293"/>
      <c r="AR102" s="293"/>
      <c r="AS102" s="563"/>
      <c r="AU102" s="293"/>
      <c r="AV102" s="293"/>
      <c r="AW102" s="293"/>
      <c r="AX102" s="293"/>
      <c r="AY102" s="293"/>
      <c r="AZ102" s="293"/>
      <c r="BA102" s="293"/>
      <c r="BB102" s="293"/>
      <c r="BC102" s="293"/>
      <c r="BD102" s="293"/>
      <c r="BF102" s="447"/>
    </row>
    <row r="103" spans="1:72" s="3" customFormat="1" ht="31.5" customHeight="1">
      <c r="A103" s="277" t="s">
        <v>461</v>
      </c>
      <c r="B103" s="324">
        <v>3708</v>
      </c>
      <c r="C103" s="251" t="s">
        <v>462</v>
      </c>
      <c r="D103" s="826"/>
      <c r="E103" s="281" t="s">
        <v>304</v>
      </c>
      <c r="F103" s="325"/>
      <c r="G103" s="276"/>
      <c r="H103" s="244"/>
      <c r="I103" s="245"/>
      <c r="J103" s="267">
        <v>340</v>
      </c>
      <c r="K103" s="246">
        <f>J103*F103</f>
        <v>0</v>
      </c>
      <c r="L103" s="267">
        <f>J103+J103*5%</f>
        <v>357</v>
      </c>
      <c r="M103" s="246">
        <f>L103*F103</f>
        <v>0</v>
      </c>
      <c r="N103" s="267">
        <f>J103+J103*10%</f>
        <v>374</v>
      </c>
      <c r="O103" s="246">
        <f>N103*F103</f>
        <v>0</v>
      </c>
      <c r="P103" s="267">
        <f>J103+J103*15%</f>
        <v>391</v>
      </c>
      <c r="Q103" s="246">
        <f>P103*F103</f>
        <v>0</v>
      </c>
      <c r="R103" s="267">
        <f>J103+J103*25%</f>
        <v>425</v>
      </c>
      <c r="S103" s="246">
        <f>R103*F103</f>
        <v>0</v>
      </c>
      <c r="T103" s="242">
        <v>209</v>
      </c>
      <c r="U103" s="242">
        <f>T103*F103</f>
        <v>0</v>
      </c>
      <c r="V103" s="243"/>
      <c r="W103" s="301">
        <v>645</v>
      </c>
      <c r="X103" s="446"/>
      <c r="Y103" s="567">
        <v>18</v>
      </c>
      <c r="Z103" s="189">
        <v>6</v>
      </c>
      <c r="AA103" s="775" t="s">
        <v>463</v>
      </c>
      <c r="AB103" s="538">
        <v>44167</v>
      </c>
      <c r="AC103" s="538">
        <v>45992</v>
      </c>
      <c r="AD103" s="719" t="s">
        <v>464</v>
      </c>
      <c r="AE103" s="719" t="s">
        <v>67</v>
      </c>
      <c r="AF103" s="697" t="s">
        <v>226</v>
      </c>
      <c r="AG103" s="697" t="s">
        <v>465</v>
      </c>
      <c r="AH103" s="547" t="s">
        <v>466</v>
      </c>
      <c r="AI103" s="784" t="s">
        <v>467</v>
      </c>
      <c r="AJ103" s="133"/>
      <c r="AK103" s="569">
        <v>3401300000</v>
      </c>
      <c r="AL103" s="556"/>
      <c r="AM103" s="588" t="s">
        <v>468</v>
      </c>
      <c r="AN103" s="273" t="s">
        <v>469</v>
      </c>
      <c r="AO103" s="273" t="s">
        <v>470</v>
      </c>
      <c r="AP103" s="616" t="s">
        <v>471</v>
      </c>
      <c r="AQ103" s="613" t="s">
        <v>472</v>
      </c>
      <c r="AR103" s="621"/>
      <c r="AS103" s="618"/>
      <c r="AU103" s="133"/>
      <c r="AV103" s="133"/>
      <c r="AW103" s="133"/>
      <c r="AX103" s="510"/>
      <c r="AY103" s="507">
        <f t="shared" ref="AY103:AY119" si="25">AX103*F103</f>
        <v>0</v>
      </c>
      <c r="AZ103" s="133"/>
      <c r="BA103" s="133"/>
      <c r="BB103" s="133"/>
      <c r="BC103" s="189"/>
      <c r="BD103" s="133"/>
      <c r="BF103" s="447"/>
    </row>
    <row r="104" spans="1:72" s="441" customFormat="1" ht="18.75" customHeight="1">
      <c r="A104" s="282" t="s">
        <v>473</v>
      </c>
      <c r="B104" s="108">
        <v>3395</v>
      </c>
      <c r="C104" s="251" t="s">
        <v>474</v>
      </c>
      <c r="D104" s="826"/>
      <c r="E104" s="110" t="s">
        <v>304</v>
      </c>
      <c r="F104" s="326"/>
      <c r="G104" s="276"/>
      <c r="H104" s="316"/>
      <c r="I104" s="317"/>
      <c r="J104" s="275">
        <v>300</v>
      </c>
      <c r="K104" s="318">
        <f t="shared" ref="K104:K106" si="26">J104*F104</f>
        <v>0</v>
      </c>
      <c r="L104" s="275">
        <f t="shared" ref="L104:L119" si="27">J104+J104*5%</f>
        <v>315</v>
      </c>
      <c r="M104" s="318">
        <f t="shared" ref="M104:M117" si="28">L104*F104</f>
        <v>0</v>
      </c>
      <c r="N104" s="275">
        <f t="shared" ref="N104:N119" si="29">J104+J104*10%</f>
        <v>330</v>
      </c>
      <c r="O104" s="318">
        <f t="shared" ref="O104:O119" si="30">N104*F104</f>
        <v>0</v>
      </c>
      <c r="P104" s="275">
        <f t="shared" ref="P104:P119" si="31">J104+J104*15%</f>
        <v>345</v>
      </c>
      <c r="Q104" s="318">
        <f t="shared" ref="Q104:Q119" si="32">P104*F104</f>
        <v>0</v>
      </c>
      <c r="R104" s="275">
        <f t="shared" ref="R104:R119" si="33">J104+J104*25%</f>
        <v>375</v>
      </c>
      <c r="S104" s="318">
        <f t="shared" ref="S104:S106" si="34">R104*F104</f>
        <v>0</v>
      </c>
      <c r="T104" s="112">
        <v>205</v>
      </c>
      <c r="U104" s="112">
        <f>T104*F104</f>
        <v>0</v>
      </c>
      <c r="V104" s="327"/>
      <c r="W104" s="301">
        <v>570</v>
      </c>
      <c r="X104" s="446"/>
      <c r="Y104" s="567">
        <v>18</v>
      </c>
      <c r="Z104" s="189">
        <v>6</v>
      </c>
      <c r="AA104" s="775" t="s">
        <v>463</v>
      </c>
      <c r="AB104" s="538">
        <v>44167</v>
      </c>
      <c r="AC104" s="538">
        <v>45992</v>
      </c>
      <c r="AD104" s="719" t="s">
        <v>464</v>
      </c>
      <c r="AE104" s="719" t="s">
        <v>67</v>
      </c>
      <c r="AF104" s="697" t="s">
        <v>226</v>
      </c>
      <c r="AG104" s="697" t="s">
        <v>465</v>
      </c>
      <c r="AH104" s="108" t="s">
        <v>475</v>
      </c>
      <c r="AI104" s="784" t="s">
        <v>476</v>
      </c>
      <c r="AJ104" s="133"/>
      <c r="AK104" s="568">
        <v>3401300000</v>
      </c>
      <c r="AL104" s="551"/>
      <c r="AM104" s="588" t="s">
        <v>468</v>
      </c>
      <c r="AN104" s="273" t="s">
        <v>469</v>
      </c>
      <c r="AO104" s="273" t="s">
        <v>477</v>
      </c>
      <c r="AP104" s="616" t="s">
        <v>478</v>
      </c>
      <c r="AQ104" s="613" t="s">
        <v>479</v>
      </c>
      <c r="AR104" s="621"/>
      <c r="AS104" s="618"/>
      <c r="AT104" s="3"/>
      <c r="AU104" s="133"/>
      <c r="AV104" s="133"/>
      <c r="AW104" s="133"/>
      <c r="AX104" s="510"/>
      <c r="AY104" s="507">
        <f t="shared" si="25"/>
        <v>0</v>
      </c>
      <c r="AZ104" s="133"/>
      <c r="BA104" s="133"/>
      <c r="BB104" s="133"/>
      <c r="BC104" s="189"/>
      <c r="BD104" s="133"/>
      <c r="BE104" s="3"/>
      <c r="BF104" s="447"/>
      <c r="BG104" s="3"/>
      <c r="BH104" s="3"/>
      <c r="BI104" s="3"/>
      <c r="BJ104" s="3"/>
      <c r="BK104" s="3"/>
      <c r="BL104" s="3"/>
      <c r="BM104" s="3"/>
      <c r="BN104" s="3"/>
      <c r="BO104" s="3"/>
      <c r="BP104" s="3"/>
      <c r="BQ104" s="3"/>
      <c r="BR104" s="3"/>
      <c r="BS104" s="3"/>
      <c r="BT104" s="3"/>
    </row>
    <row r="105" spans="1:72" s="441" customFormat="1" ht="18" customHeight="1">
      <c r="A105" s="282" t="s">
        <v>480</v>
      </c>
      <c r="B105" s="108">
        <v>2825</v>
      </c>
      <c r="C105" s="251" t="s">
        <v>481</v>
      </c>
      <c r="D105" s="826"/>
      <c r="E105" s="110" t="s">
        <v>321</v>
      </c>
      <c r="F105" s="326"/>
      <c r="G105" s="276"/>
      <c r="H105" s="316"/>
      <c r="I105" s="317"/>
      <c r="J105" s="275">
        <v>195</v>
      </c>
      <c r="K105" s="318">
        <f t="shared" si="26"/>
        <v>0</v>
      </c>
      <c r="L105" s="275">
        <f t="shared" si="27"/>
        <v>204.75</v>
      </c>
      <c r="M105" s="318">
        <f t="shared" si="28"/>
        <v>0</v>
      </c>
      <c r="N105" s="275">
        <f t="shared" si="29"/>
        <v>214.5</v>
      </c>
      <c r="O105" s="318">
        <f t="shared" si="30"/>
        <v>0</v>
      </c>
      <c r="P105" s="275">
        <f t="shared" si="31"/>
        <v>224.25</v>
      </c>
      <c r="Q105" s="318">
        <f t="shared" si="32"/>
        <v>0</v>
      </c>
      <c r="R105" s="275">
        <f t="shared" si="33"/>
        <v>243.75</v>
      </c>
      <c r="S105" s="318">
        <f t="shared" si="34"/>
        <v>0</v>
      </c>
      <c r="T105" s="112">
        <v>225</v>
      </c>
      <c r="U105" s="112">
        <f>T105*F105</f>
        <v>0</v>
      </c>
      <c r="V105" s="328"/>
      <c r="W105" s="301">
        <v>370</v>
      </c>
      <c r="X105" s="446"/>
      <c r="Y105" s="567">
        <v>18</v>
      </c>
      <c r="Z105" s="189">
        <v>6</v>
      </c>
      <c r="AA105" s="775" t="s">
        <v>288</v>
      </c>
      <c r="AB105" s="538">
        <v>44910</v>
      </c>
      <c r="AC105" s="538">
        <v>45356</v>
      </c>
      <c r="AD105" s="719" t="s">
        <v>482</v>
      </c>
      <c r="AE105" s="719" t="s">
        <v>67</v>
      </c>
      <c r="AF105" s="697" t="s">
        <v>226</v>
      </c>
      <c r="AG105" s="697" t="s">
        <v>465</v>
      </c>
      <c r="AH105" s="547" t="s">
        <v>324</v>
      </c>
      <c r="AI105" s="688" t="s">
        <v>483</v>
      </c>
      <c r="AJ105" s="511"/>
      <c r="AK105" s="568">
        <v>3401300000</v>
      </c>
      <c r="AL105" s="551"/>
      <c r="AM105" s="683" t="s">
        <v>484</v>
      </c>
      <c r="AN105" s="685" t="s">
        <v>485</v>
      </c>
      <c r="AO105" s="685" t="s">
        <v>486</v>
      </c>
      <c r="AP105" s="616" t="s">
        <v>487</v>
      </c>
      <c r="AQ105" s="617" t="s">
        <v>488</v>
      </c>
      <c r="AR105" s="621"/>
      <c r="AS105" s="618"/>
      <c r="AT105" s="3"/>
      <c r="AU105" s="511"/>
      <c r="AV105" s="511"/>
      <c r="AW105" s="511"/>
      <c r="AX105" s="512">
        <f>160*64*36/1000000000</f>
        <v>3.6863999999999999E-4</v>
      </c>
      <c r="AY105" s="507">
        <f t="shared" si="25"/>
        <v>0</v>
      </c>
      <c r="AZ105" s="511">
        <v>17</v>
      </c>
      <c r="BA105" s="511">
        <v>13</v>
      </c>
      <c r="BB105" s="511">
        <v>21</v>
      </c>
      <c r="BC105" s="189"/>
      <c r="BD105" s="189"/>
      <c r="BE105" s="3"/>
      <c r="BF105" s="447"/>
      <c r="BG105" s="3"/>
      <c r="BH105" s="3"/>
      <c r="BI105" s="3"/>
      <c r="BJ105" s="3"/>
      <c r="BK105" s="3"/>
      <c r="BL105" s="3"/>
      <c r="BM105" s="3"/>
      <c r="BN105" s="3"/>
      <c r="BO105" s="3"/>
      <c r="BP105" s="3"/>
      <c r="BQ105" s="3"/>
      <c r="BR105" s="3"/>
      <c r="BS105" s="3"/>
      <c r="BT105" s="3"/>
    </row>
    <row r="106" spans="1:72" s="441" customFormat="1" ht="20.25" customHeight="1">
      <c r="A106" s="282" t="s">
        <v>489</v>
      </c>
      <c r="B106" s="329">
        <v>2687</v>
      </c>
      <c r="C106" s="251" t="s">
        <v>490</v>
      </c>
      <c r="D106" s="826"/>
      <c r="E106" s="110" t="s">
        <v>304</v>
      </c>
      <c r="F106" s="326"/>
      <c r="G106" s="111"/>
      <c r="H106" s="330"/>
      <c r="I106" s="239"/>
      <c r="J106" s="238">
        <v>285</v>
      </c>
      <c r="K106" s="318">
        <f t="shared" si="26"/>
        <v>0</v>
      </c>
      <c r="L106" s="275">
        <f t="shared" si="27"/>
        <v>299.25</v>
      </c>
      <c r="M106" s="318">
        <f t="shared" si="28"/>
        <v>0</v>
      </c>
      <c r="N106" s="275">
        <f t="shared" si="29"/>
        <v>313.5</v>
      </c>
      <c r="O106" s="318">
        <f t="shared" si="30"/>
        <v>0</v>
      </c>
      <c r="P106" s="275">
        <f t="shared" si="31"/>
        <v>327.75</v>
      </c>
      <c r="Q106" s="318">
        <f t="shared" si="32"/>
        <v>0</v>
      </c>
      <c r="R106" s="275">
        <f t="shared" si="33"/>
        <v>356.25</v>
      </c>
      <c r="S106" s="318">
        <f t="shared" si="34"/>
        <v>0</v>
      </c>
      <c r="T106" s="112">
        <v>155</v>
      </c>
      <c r="U106" s="112">
        <f>-T106*F106</f>
        <v>0</v>
      </c>
      <c r="V106" s="327"/>
      <c r="W106" s="301">
        <v>540</v>
      </c>
      <c r="X106" s="446"/>
      <c r="Y106" s="567">
        <v>12</v>
      </c>
      <c r="Z106" s="189">
        <v>3</v>
      </c>
      <c r="AA106" s="541" t="s">
        <v>491</v>
      </c>
      <c r="AB106" s="537">
        <v>43640</v>
      </c>
      <c r="AC106" s="537">
        <v>45466</v>
      </c>
      <c r="AD106" s="718" t="s">
        <v>492</v>
      </c>
      <c r="AE106" s="719" t="s">
        <v>67</v>
      </c>
      <c r="AF106" s="695" t="s">
        <v>226</v>
      </c>
      <c r="AG106" s="695" t="s">
        <v>493</v>
      </c>
      <c r="AH106" s="547" t="s">
        <v>494</v>
      </c>
      <c r="AI106" s="707" t="s">
        <v>495</v>
      </c>
      <c r="AJ106" s="189"/>
      <c r="AK106" s="568">
        <v>3401300000</v>
      </c>
      <c r="AL106" s="551"/>
      <c r="AM106" s="683" t="s">
        <v>496</v>
      </c>
      <c r="AN106" s="685" t="s">
        <v>497</v>
      </c>
      <c r="AO106" s="685" t="s">
        <v>498</v>
      </c>
      <c r="AP106" s="616" t="s">
        <v>499</v>
      </c>
      <c r="AQ106" s="627" t="s">
        <v>500</v>
      </c>
      <c r="AR106" s="621"/>
      <c r="AS106" s="618"/>
      <c r="AT106" s="3"/>
      <c r="AU106" s="189"/>
      <c r="AV106" s="189"/>
      <c r="AW106" s="189"/>
      <c r="AX106" s="512">
        <f>135*50*34/1000000000</f>
        <v>2.2949999999999999E-4</v>
      </c>
      <c r="AY106" s="507">
        <f t="shared" si="25"/>
        <v>0</v>
      </c>
      <c r="AZ106" s="189"/>
      <c r="BA106" s="189"/>
      <c r="BB106" s="189"/>
      <c r="BC106" s="189"/>
      <c r="BD106" s="189"/>
      <c r="BE106" s="3"/>
      <c r="BF106" s="447"/>
      <c r="BG106" s="3"/>
      <c r="BH106" s="3"/>
      <c r="BI106" s="3"/>
      <c r="BJ106" s="3"/>
      <c r="BK106" s="3"/>
      <c r="BL106" s="3"/>
      <c r="BM106" s="3"/>
      <c r="BN106" s="3"/>
      <c r="BO106" s="3"/>
      <c r="BP106" s="3"/>
      <c r="BQ106" s="3"/>
      <c r="BR106" s="3"/>
      <c r="BS106" s="3"/>
      <c r="BT106" s="3"/>
    </row>
    <row r="107" spans="1:72" s="441" customFormat="1" ht="18" customHeight="1">
      <c r="A107" s="282" t="s">
        <v>501</v>
      </c>
      <c r="B107" s="329">
        <v>3680</v>
      </c>
      <c r="C107" s="251" t="s">
        <v>502</v>
      </c>
      <c r="D107" s="826"/>
      <c r="E107" s="110" t="s">
        <v>287</v>
      </c>
      <c r="F107" s="326"/>
      <c r="G107" s="111"/>
      <c r="H107" s="330"/>
      <c r="I107" s="239"/>
      <c r="J107" s="238">
        <v>195</v>
      </c>
      <c r="K107" s="318">
        <f>J107*F107</f>
        <v>0</v>
      </c>
      <c r="L107" s="275">
        <f t="shared" si="27"/>
        <v>204.75</v>
      </c>
      <c r="M107" s="318">
        <f t="shared" si="28"/>
        <v>0</v>
      </c>
      <c r="N107" s="275">
        <f t="shared" si="29"/>
        <v>214.5</v>
      </c>
      <c r="O107" s="318">
        <f t="shared" si="30"/>
        <v>0</v>
      </c>
      <c r="P107" s="275">
        <f t="shared" si="31"/>
        <v>224.25</v>
      </c>
      <c r="Q107" s="318">
        <f t="shared" si="32"/>
        <v>0</v>
      </c>
      <c r="R107" s="275">
        <f t="shared" si="33"/>
        <v>243.75</v>
      </c>
      <c r="S107" s="318">
        <f>R107*F107</f>
        <v>0</v>
      </c>
      <c r="T107" s="112">
        <v>185</v>
      </c>
      <c r="U107" s="112">
        <f>T107*F107</f>
        <v>0</v>
      </c>
      <c r="V107" s="327"/>
      <c r="W107" s="301">
        <v>370</v>
      </c>
      <c r="X107" s="446"/>
      <c r="Y107" s="567">
        <v>12</v>
      </c>
      <c r="Z107" s="189">
        <v>3</v>
      </c>
      <c r="AA107" s="776" t="s">
        <v>491</v>
      </c>
      <c r="AB107" s="536">
        <v>43640</v>
      </c>
      <c r="AC107" s="536">
        <v>45466</v>
      </c>
      <c r="AD107" s="718" t="s">
        <v>492</v>
      </c>
      <c r="AE107" s="719" t="s">
        <v>67</v>
      </c>
      <c r="AF107" s="694" t="s">
        <v>226</v>
      </c>
      <c r="AG107" s="694" t="s">
        <v>360</v>
      </c>
      <c r="AH107" s="547" t="s">
        <v>503</v>
      </c>
      <c r="AI107" s="707" t="s">
        <v>504</v>
      </c>
      <c r="AJ107" s="189"/>
      <c r="AK107" s="568">
        <v>3401300000</v>
      </c>
      <c r="AL107" s="551"/>
      <c r="AM107" s="683" t="s">
        <v>505</v>
      </c>
      <c r="AN107" s="273" t="s">
        <v>506</v>
      </c>
      <c r="AO107" s="273" t="s">
        <v>507</v>
      </c>
      <c r="AP107" s="616" t="s">
        <v>508</v>
      </c>
      <c r="AQ107" s="627" t="s">
        <v>500</v>
      </c>
      <c r="AR107" s="621"/>
      <c r="AS107" s="618"/>
      <c r="AT107" s="3"/>
      <c r="AU107" s="189"/>
      <c r="AV107" s="189"/>
      <c r="AW107" s="189"/>
      <c r="AX107" s="512"/>
      <c r="AY107" s="507">
        <f t="shared" si="25"/>
        <v>0</v>
      </c>
      <c r="AZ107" s="189"/>
      <c r="BA107" s="189"/>
      <c r="BB107" s="189"/>
      <c r="BC107" s="189"/>
      <c r="BD107" s="189"/>
      <c r="BE107" s="3"/>
      <c r="BF107" s="447"/>
      <c r="BG107" s="3"/>
      <c r="BH107" s="3"/>
      <c r="BI107" s="3"/>
      <c r="BJ107" s="3"/>
      <c r="BK107" s="3"/>
      <c r="BL107" s="3"/>
      <c r="BM107" s="3"/>
      <c r="BN107" s="3"/>
      <c r="BO107" s="3"/>
      <c r="BP107" s="3"/>
      <c r="BQ107" s="3"/>
      <c r="BR107" s="3"/>
      <c r="BS107" s="3"/>
      <c r="BT107" s="3"/>
    </row>
    <row r="108" spans="1:72" s="3" customFormat="1" ht="18.75" customHeight="1">
      <c r="A108" s="331">
        <v>4627186340339</v>
      </c>
      <c r="B108" s="329">
        <v>3554</v>
      </c>
      <c r="C108" s="251" t="s">
        <v>509</v>
      </c>
      <c r="D108" s="826"/>
      <c r="E108" s="110" t="s">
        <v>510</v>
      </c>
      <c r="F108" s="248"/>
      <c r="G108" s="111"/>
      <c r="H108" s="111"/>
      <c r="I108" s="239"/>
      <c r="J108" s="275">
        <v>315</v>
      </c>
      <c r="K108" s="104">
        <f t="shared" ref="K108:K117" si="35">J108*F108</f>
        <v>0</v>
      </c>
      <c r="L108" s="275">
        <f t="shared" si="27"/>
        <v>330.75</v>
      </c>
      <c r="M108" s="104">
        <f t="shared" si="28"/>
        <v>0</v>
      </c>
      <c r="N108" s="275">
        <f t="shared" si="29"/>
        <v>346.5</v>
      </c>
      <c r="O108" s="104">
        <f t="shared" si="30"/>
        <v>0</v>
      </c>
      <c r="P108" s="275">
        <f t="shared" si="31"/>
        <v>362.25</v>
      </c>
      <c r="Q108" s="104">
        <f t="shared" si="32"/>
        <v>0</v>
      </c>
      <c r="R108" s="275">
        <f t="shared" si="33"/>
        <v>393.75</v>
      </c>
      <c r="S108" s="104">
        <f t="shared" ref="S108:S119" si="36">R108*F108</f>
        <v>0</v>
      </c>
      <c r="T108" s="105">
        <v>30</v>
      </c>
      <c r="U108" s="105">
        <f>F108*T108</f>
        <v>0</v>
      </c>
      <c r="V108" s="106"/>
      <c r="W108" s="301">
        <v>595</v>
      </c>
      <c r="X108" s="446"/>
      <c r="Y108" s="567">
        <v>12</v>
      </c>
      <c r="Z108" s="478" t="s">
        <v>356</v>
      </c>
      <c r="AA108" s="541" t="s">
        <v>511</v>
      </c>
      <c r="AB108" s="537">
        <v>44726</v>
      </c>
      <c r="AC108" s="537">
        <v>47277</v>
      </c>
      <c r="AD108" s="718" t="s">
        <v>512</v>
      </c>
      <c r="AE108" s="719" t="s">
        <v>67</v>
      </c>
      <c r="AF108" s="695" t="s">
        <v>226</v>
      </c>
      <c r="AG108" s="695" t="s">
        <v>360</v>
      </c>
      <c r="AH108" s="547" t="s">
        <v>165</v>
      </c>
      <c r="AI108" s="688" t="s">
        <v>513</v>
      </c>
      <c r="AJ108" s="516"/>
      <c r="AK108" s="568">
        <v>3304990000</v>
      </c>
      <c r="AL108" s="551"/>
      <c r="AM108" s="683" t="s">
        <v>505</v>
      </c>
      <c r="AN108" s="273" t="s">
        <v>506</v>
      </c>
      <c r="AO108" s="273" t="s">
        <v>507</v>
      </c>
      <c r="AP108" s="616" t="s">
        <v>514</v>
      </c>
      <c r="AQ108" s="617" t="s">
        <v>515</v>
      </c>
      <c r="AR108" s="621"/>
      <c r="AS108" s="618"/>
      <c r="AU108" s="511">
        <v>12</v>
      </c>
      <c r="AV108" s="511" t="s">
        <v>366</v>
      </c>
      <c r="AW108" s="514">
        <f>F108/AU108</f>
        <v>0</v>
      </c>
      <c r="AX108" s="512">
        <f>98*63*32/1000000000*1.05</f>
        <v>2.0744639999999999E-4</v>
      </c>
      <c r="AY108" s="507">
        <f t="shared" si="25"/>
        <v>0</v>
      </c>
      <c r="AZ108" s="511">
        <v>0.2</v>
      </c>
      <c r="BA108" s="511">
        <v>0.14000000000000001</v>
      </c>
      <c r="BB108" s="511">
        <v>0.1</v>
      </c>
      <c r="BC108" s="515">
        <f>BB108*BA108*AZ108*AW108</f>
        <v>0</v>
      </c>
      <c r="BD108" s="189"/>
      <c r="BF108" s="447"/>
      <c r="BG108" s="442" t="s">
        <v>516</v>
      </c>
      <c r="BH108" s="442" t="s">
        <v>517</v>
      </c>
    </row>
    <row r="109" spans="1:72" s="3" customFormat="1" ht="18.75" customHeight="1">
      <c r="A109" s="331">
        <v>4627101829772</v>
      </c>
      <c r="B109" s="329">
        <v>3267</v>
      </c>
      <c r="C109" s="251" t="s">
        <v>518</v>
      </c>
      <c r="D109" s="826"/>
      <c r="E109" s="110" t="s">
        <v>208</v>
      </c>
      <c r="F109" s="248"/>
      <c r="G109" s="111"/>
      <c r="H109" s="111"/>
      <c r="I109" s="239"/>
      <c r="J109" s="275">
        <v>280</v>
      </c>
      <c r="K109" s="104">
        <f t="shared" si="35"/>
        <v>0</v>
      </c>
      <c r="L109" s="267">
        <f t="shared" si="27"/>
        <v>294</v>
      </c>
      <c r="M109" s="104">
        <f t="shared" si="28"/>
        <v>0</v>
      </c>
      <c r="N109" s="267">
        <f t="shared" si="29"/>
        <v>308</v>
      </c>
      <c r="O109" s="104">
        <f t="shared" si="30"/>
        <v>0</v>
      </c>
      <c r="P109" s="267">
        <f t="shared" si="31"/>
        <v>322</v>
      </c>
      <c r="Q109" s="104">
        <f t="shared" si="32"/>
        <v>0</v>
      </c>
      <c r="R109" s="267">
        <f t="shared" si="33"/>
        <v>350</v>
      </c>
      <c r="S109" s="104">
        <f t="shared" si="36"/>
        <v>0</v>
      </c>
      <c r="T109" s="105">
        <v>45</v>
      </c>
      <c r="U109" s="105">
        <f>T109*F109</f>
        <v>0</v>
      </c>
      <c r="V109" s="106"/>
      <c r="W109" s="301">
        <v>530</v>
      </c>
      <c r="X109" s="446"/>
      <c r="Y109" s="567">
        <v>12</v>
      </c>
      <c r="Z109" s="189">
        <v>3</v>
      </c>
      <c r="AA109" s="541" t="s">
        <v>511</v>
      </c>
      <c r="AB109" s="537">
        <v>44726</v>
      </c>
      <c r="AC109" s="537">
        <v>47277</v>
      </c>
      <c r="AD109" s="768" t="s">
        <v>512</v>
      </c>
      <c r="AE109" s="719" t="s">
        <v>67</v>
      </c>
      <c r="AF109" s="695" t="s">
        <v>226</v>
      </c>
      <c r="AG109" s="695" t="s">
        <v>360</v>
      </c>
      <c r="AH109" s="547" t="s">
        <v>393</v>
      </c>
      <c r="AI109" s="688" t="s">
        <v>519</v>
      </c>
      <c r="AJ109" s="511"/>
      <c r="AK109" s="568">
        <v>3304990000</v>
      </c>
      <c r="AL109" s="551"/>
      <c r="AM109" s="588" t="s">
        <v>520</v>
      </c>
      <c r="AN109" s="273" t="s">
        <v>521</v>
      </c>
      <c r="AO109" s="273" t="s">
        <v>522</v>
      </c>
      <c r="AP109" s="616" t="s">
        <v>523</v>
      </c>
      <c r="AQ109" s="617" t="s">
        <v>524</v>
      </c>
      <c r="AR109" s="621"/>
      <c r="AS109" s="618"/>
      <c r="AU109" s="511"/>
      <c r="AV109" s="511"/>
      <c r="AW109" s="511"/>
      <c r="AX109" s="512"/>
      <c r="AY109" s="507">
        <f t="shared" si="25"/>
        <v>0</v>
      </c>
      <c r="AZ109" s="511"/>
      <c r="BA109" s="511"/>
      <c r="BB109" s="511"/>
      <c r="BC109" s="189"/>
      <c r="BD109" s="189"/>
      <c r="BF109" s="447"/>
      <c r="BG109" s="442"/>
      <c r="BH109" s="442"/>
    </row>
    <row r="110" spans="1:72" s="3" customFormat="1" ht="18.75" customHeight="1">
      <c r="A110" s="331">
        <v>4627101822643</v>
      </c>
      <c r="B110" s="329">
        <v>1851</v>
      </c>
      <c r="C110" s="251" t="s">
        <v>525</v>
      </c>
      <c r="D110" s="826"/>
      <c r="E110" s="110" t="s">
        <v>401</v>
      </c>
      <c r="F110" s="248"/>
      <c r="G110" s="111"/>
      <c r="H110" s="111"/>
      <c r="I110" s="239"/>
      <c r="J110" s="275">
        <v>390</v>
      </c>
      <c r="K110" s="104">
        <f t="shared" si="35"/>
        <v>0</v>
      </c>
      <c r="L110" s="267">
        <f t="shared" si="27"/>
        <v>409.5</v>
      </c>
      <c r="M110" s="104">
        <f t="shared" si="28"/>
        <v>0</v>
      </c>
      <c r="N110" s="267">
        <f t="shared" si="29"/>
        <v>429</v>
      </c>
      <c r="O110" s="104">
        <f t="shared" si="30"/>
        <v>0</v>
      </c>
      <c r="P110" s="267">
        <f t="shared" si="31"/>
        <v>448.5</v>
      </c>
      <c r="Q110" s="104">
        <f t="shared" si="32"/>
        <v>0</v>
      </c>
      <c r="R110" s="267">
        <f t="shared" si="33"/>
        <v>487.5</v>
      </c>
      <c r="S110" s="104">
        <f t="shared" si="36"/>
        <v>0</v>
      </c>
      <c r="T110" s="105">
        <v>119.6</v>
      </c>
      <c r="U110" s="105">
        <f>F110*T110</f>
        <v>0</v>
      </c>
      <c r="V110" s="106"/>
      <c r="W110" s="301">
        <v>740</v>
      </c>
      <c r="X110" s="446"/>
      <c r="Y110" s="567">
        <v>12</v>
      </c>
      <c r="Z110" s="189">
        <v>3</v>
      </c>
      <c r="AA110" s="541" t="s">
        <v>511</v>
      </c>
      <c r="AB110" s="537">
        <v>44726</v>
      </c>
      <c r="AC110" s="537">
        <v>47277</v>
      </c>
      <c r="AD110" s="718" t="s">
        <v>512</v>
      </c>
      <c r="AE110" s="719" t="s">
        <v>67</v>
      </c>
      <c r="AF110" s="695" t="s">
        <v>226</v>
      </c>
      <c r="AG110" s="695" t="s">
        <v>360</v>
      </c>
      <c r="AH110" s="547" t="s">
        <v>402</v>
      </c>
      <c r="AI110" s="688" t="s">
        <v>526</v>
      </c>
      <c r="AJ110" s="511"/>
      <c r="AK110" s="568">
        <v>3304990000</v>
      </c>
      <c r="AL110" s="551"/>
      <c r="AM110" s="588" t="s">
        <v>520</v>
      </c>
      <c r="AN110" s="273" t="s">
        <v>521</v>
      </c>
      <c r="AO110" s="273" t="s">
        <v>522</v>
      </c>
      <c r="AP110" s="616" t="s">
        <v>527</v>
      </c>
      <c r="AQ110" s="617" t="s">
        <v>524</v>
      </c>
      <c r="AR110" s="621"/>
      <c r="AS110" s="618"/>
      <c r="AU110" s="511"/>
      <c r="AV110" s="511"/>
      <c r="AW110" s="511"/>
      <c r="AX110" s="512">
        <f>137*39*39/1000000000</f>
        <v>2.0837699999999999E-4</v>
      </c>
      <c r="AY110" s="507">
        <f t="shared" si="25"/>
        <v>0</v>
      </c>
      <c r="AZ110" s="511">
        <v>14</v>
      </c>
      <c r="BA110" s="511">
        <v>12</v>
      </c>
      <c r="BB110" s="511">
        <v>16</v>
      </c>
      <c r="BC110" s="189"/>
      <c r="BD110" s="189"/>
      <c r="BF110" s="447"/>
      <c r="BG110" s="442" t="s">
        <v>406</v>
      </c>
      <c r="BH110" s="442" t="s">
        <v>407</v>
      </c>
    </row>
    <row r="111" spans="1:72" s="3" customFormat="1" ht="18.75" customHeight="1">
      <c r="A111" s="331">
        <v>4627101829789</v>
      </c>
      <c r="B111" s="329">
        <v>3268</v>
      </c>
      <c r="C111" s="251" t="s">
        <v>528</v>
      </c>
      <c r="D111" s="826"/>
      <c r="E111" s="110" t="s">
        <v>208</v>
      </c>
      <c r="F111" s="248"/>
      <c r="G111" s="111"/>
      <c r="H111" s="111"/>
      <c r="I111" s="239"/>
      <c r="J111" s="275">
        <v>280</v>
      </c>
      <c r="K111" s="104">
        <f t="shared" si="35"/>
        <v>0</v>
      </c>
      <c r="L111" s="267">
        <f t="shared" si="27"/>
        <v>294</v>
      </c>
      <c r="M111" s="104">
        <f t="shared" si="28"/>
        <v>0</v>
      </c>
      <c r="N111" s="267">
        <f t="shared" si="29"/>
        <v>308</v>
      </c>
      <c r="O111" s="104">
        <f t="shared" si="30"/>
        <v>0</v>
      </c>
      <c r="P111" s="267">
        <f t="shared" si="31"/>
        <v>322</v>
      </c>
      <c r="Q111" s="104">
        <f t="shared" si="32"/>
        <v>0</v>
      </c>
      <c r="R111" s="267">
        <f t="shared" si="33"/>
        <v>350</v>
      </c>
      <c r="S111" s="104">
        <f t="shared" si="36"/>
        <v>0</v>
      </c>
      <c r="T111" s="105">
        <v>45</v>
      </c>
      <c r="U111" s="105">
        <f>T111*F111</f>
        <v>0</v>
      </c>
      <c r="V111" s="106"/>
      <c r="W111" s="301">
        <v>530</v>
      </c>
      <c r="X111" s="446"/>
      <c r="Y111" s="567">
        <v>12</v>
      </c>
      <c r="Z111" s="189">
        <v>3</v>
      </c>
      <c r="AA111" s="541" t="s">
        <v>511</v>
      </c>
      <c r="AB111" s="537">
        <v>44726</v>
      </c>
      <c r="AC111" s="537">
        <v>47277</v>
      </c>
      <c r="AD111" s="718" t="s">
        <v>512</v>
      </c>
      <c r="AE111" s="719" t="s">
        <v>67</v>
      </c>
      <c r="AF111" s="695" t="s">
        <v>226</v>
      </c>
      <c r="AG111" s="695" t="s">
        <v>360</v>
      </c>
      <c r="AH111" s="547" t="s">
        <v>393</v>
      </c>
      <c r="AI111" s="688" t="s">
        <v>519</v>
      </c>
      <c r="AJ111" s="511"/>
      <c r="AK111" s="568">
        <v>3304990000</v>
      </c>
      <c r="AL111" s="551"/>
      <c r="AM111" s="588" t="s">
        <v>529</v>
      </c>
      <c r="AN111" s="273" t="s">
        <v>530</v>
      </c>
      <c r="AO111" s="273" t="s">
        <v>531</v>
      </c>
      <c r="AP111" s="616" t="s">
        <v>532</v>
      </c>
      <c r="AQ111" s="617" t="s">
        <v>533</v>
      </c>
      <c r="AR111" s="621"/>
      <c r="AS111" s="618"/>
      <c r="AU111" s="511"/>
      <c r="AV111" s="511"/>
      <c r="AW111" s="511"/>
      <c r="AX111" s="512"/>
      <c r="AY111" s="507">
        <f t="shared" si="25"/>
        <v>0</v>
      </c>
      <c r="AZ111" s="511"/>
      <c r="BA111" s="511"/>
      <c r="BB111" s="511"/>
      <c r="BC111" s="189"/>
      <c r="BD111" s="189"/>
      <c r="BF111" s="447"/>
      <c r="BG111" s="442"/>
      <c r="BH111" s="442"/>
    </row>
    <row r="112" spans="1:72" s="3" customFormat="1" ht="17.25" customHeight="1">
      <c r="A112" s="331">
        <v>4627101823138</v>
      </c>
      <c r="B112" s="329">
        <v>1855</v>
      </c>
      <c r="C112" s="251" t="s">
        <v>534</v>
      </c>
      <c r="D112" s="826"/>
      <c r="E112" s="110" t="s">
        <v>401</v>
      </c>
      <c r="F112" s="248"/>
      <c r="G112" s="111"/>
      <c r="H112" s="111"/>
      <c r="I112" s="239"/>
      <c r="J112" s="332">
        <v>385</v>
      </c>
      <c r="K112" s="104">
        <f t="shared" si="35"/>
        <v>0</v>
      </c>
      <c r="L112" s="267">
        <f t="shared" si="27"/>
        <v>404.25</v>
      </c>
      <c r="M112" s="104">
        <f t="shared" si="28"/>
        <v>0</v>
      </c>
      <c r="N112" s="267">
        <f t="shared" si="29"/>
        <v>423.5</v>
      </c>
      <c r="O112" s="104">
        <f t="shared" si="30"/>
        <v>0</v>
      </c>
      <c r="P112" s="267">
        <f t="shared" si="31"/>
        <v>442.75</v>
      </c>
      <c r="Q112" s="104">
        <f t="shared" si="32"/>
        <v>0</v>
      </c>
      <c r="R112" s="267">
        <f t="shared" si="33"/>
        <v>481.25</v>
      </c>
      <c r="S112" s="104">
        <f t="shared" si="36"/>
        <v>0</v>
      </c>
      <c r="T112" s="105">
        <v>120</v>
      </c>
      <c r="U112" s="105">
        <f>F112*T112</f>
        <v>0</v>
      </c>
      <c r="V112" s="106"/>
      <c r="W112" s="301">
        <v>730</v>
      </c>
      <c r="X112" s="446"/>
      <c r="Y112" s="567">
        <v>12</v>
      </c>
      <c r="Z112" s="189">
        <v>3</v>
      </c>
      <c r="AA112" s="541" t="s">
        <v>511</v>
      </c>
      <c r="AB112" s="537">
        <v>44726</v>
      </c>
      <c r="AC112" s="537">
        <v>47277</v>
      </c>
      <c r="AD112" s="718" t="s">
        <v>512</v>
      </c>
      <c r="AE112" s="719" t="s">
        <v>67</v>
      </c>
      <c r="AF112" s="695" t="s">
        <v>226</v>
      </c>
      <c r="AG112" s="695" t="s">
        <v>360</v>
      </c>
      <c r="AH112" s="547" t="s">
        <v>402</v>
      </c>
      <c r="AI112" s="688" t="s">
        <v>526</v>
      </c>
      <c r="AJ112" s="511"/>
      <c r="AK112" s="568">
        <v>3304990000</v>
      </c>
      <c r="AL112" s="551"/>
      <c r="AM112" s="588" t="s">
        <v>529</v>
      </c>
      <c r="AN112" s="273" t="s">
        <v>530</v>
      </c>
      <c r="AO112" s="273" t="s">
        <v>531</v>
      </c>
      <c r="AP112" s="616" t="s">
        <v>535</v>
      </c>
      <c r="AQ112" s="617" t="s">
        <v>533</v>
      </c>
      <c r="AR112" s="621"/>
      <c r="AS112" s="618"/>
      <c r="AU112" s="511"/>
      <c r="AV112" s="511"/>
      <c r="AW112" s="511"/>
      <c r="AX112" s="512">
        <f>137*39*39/1000000000</f>
        <v>2.0837699999999999E-4</v>
      </c>
      <c r="AY112" s="507">
        <f t="shared" si="25"/>
        <v>0</v>
      </c>
      <c r="AZ112" s="511">
        <v>14</v>
      </c>
      <c r="BA112" s="511">
        <v>12</v>
      </c>
      <c r="BB112" s="511">
        <v>16</v>
      </c>
      <c r="BC112" s="189"/>
      <c r="BD112" s="189"/>
      <c r="BF112" s="447"/>
      <c r="BG112" s="442" t="s">
        <v>406</v>
      </c>
      <c r="BH112" s="442" t="s">
        <v>407</v>
      </c>
    </row>
    <row r="113" spans="1:72" s="3" customFormat="1" ht="18.75" customHeight="1">
      <c r="A113" s="331">
        <v>4627101822650</v>
      </c>
      <c r="B113" s="329">
        <v>1856</v>
      </c>
      <c r="C113" s="251" t="s">
        <v>536</v>
      </c>
      <c r="D113" s="826"/>
      <c r="E113" s="110" t="s">
        <v>287</v>
      </c>
      <c r="F113" s="248"/>
      <c r="G113" s="111"/>
      <c r="H113" s="111"/>
      <c r="I113" s="239"/>
      <c r="J113" s="275">
        <v>300</v>
      </c>
      <c r="K113" s="104">
        <f t="shared" si="35"/>
        <v>0</v>
      </c>
      <c r="L113" s="267">
        <f t="shared" si="27"/>
        <v>315</v>
      </c>
      <c r="M113" s="104">
        <f t="shared" si="28"/>
        <v>0</v>
      </c>
      <c r="N113" s="267">
        <f t="shared" si="29"/>
        <v>330</v>
      </c>
      <c r="O113" s="104">
        <f t="shared" si="30"/>
        <v>0</v>
      </c>
      <c r="P113" s="267">
        <f t="shared" si="31"/>
        <v>345</v>
      </c>
      <c r="Q113" s="104">
        <f t="shared" si="32"/>
        <v>0</v>
      </c>
      <c r="R113" s="267">
        <f t="shared" si="33"/>
        <v>375</v>
      </c>
      <c r="S113" s="104">
        <f t="shared" si="36"/>
        <v>0</v>
      </c>
      <c r="T113" s="105">
        <v>180</v>
      </c>
      <c r="U113" s="105">
        <f>T113*F113</f>
        <v>0</v>
      </c>
      <c r="V113" s="106"/>
      <c r="W113" s="301">
        <v>570</v>
      </c>
      <c r="X113" s="446"/>
      <c r="Y113" s="567">
        <v>12</v>
      </c>
      <c r="Z113" s="189">
        <v>3</v>
      </c>
      <c r="AA113" s="541" t="s">
        <v>511</v>
      </c>
      <c r="AB113" s="537">
        <v>44726</v>
      </c>
      <c r="AC113" s="537">
        <v>47277</v>
      </c>
      <c r="AD113" s="718" t="s">
        <v>512</v>
      </c>
      <c r="AE113" s="719" t="s">
        <v>67</v>
      </c>
      <c r="AF113" s="695" t="s">
        <v>226</v>
      </c>
      <c r="AG113" s="695" t="s">
        <v>360</v>
      </c>
      <c r="AH113" s="547" t="s">
        <v>537</v>
      </c>
      <c r="AI113" s="688" t="s">
        <v>538</v>
      </c>
      <c r="AJ113" s="511"/>
      <c r="AK113" s="568">
        <v>3304990000</v>
      </c>
      <c r="AL113" s="551"/>
      <c r="AM113" s="588" t="s">
        <v>539</v>
      </c>
      <c r="AN113" s="682" t="s">
        <v>540</v>
      </c>
      <c r="AO113" s="682" t="s">
        <v>541</v>
      </c>
      <c r="AP113" s="616" t="s">
        <v>542</v>
      </c>
      <c r="AQ113" s="617" t="s">
        <v>533</v>
      </c>
      <c r="AR113" s="621"/>
      <c r="AS113" s="618"/>
      <c r="AU113" s="511"/>
      <c r="AV113" s="511"/>
      <c r="AW113" s="511"/>
      <c r="AX113" s="512">
        <f>140*45*45/1000000000</f>
        <v>2.8350000000000001E-4</v>
      </c>
      <c r="AY113" s="507">
        <f t="shared" si="25"/>
        <v>0</v>
      </c>
      <c r="AZ113" s="511">
        <v>17</v>
      </c>
      <c r="BA113" s="511">
        <v>13</v>
      </c>
      <c r="BB113" s="511">
        <v>21</v>
      </c>
      <c r="BC113" s="189" t="s">
        <v>543</v>
      </c>
      <c r="BD113" s="189"/>
      <c r="BF113" s="447"/>
      <c r="BG113" s="442" t="s">
        <v>353</v>
      </c>
      <c r="BH113" s="442" t="s">
        <v>354</v>
      </c>
      <c r="BK113" s="42" t="s">
        <v>544</v>
      </c>
      <c r="BL113" s="3" t="s">
        <v>409</v>
      </c>
      <c r="BM113" s="3" t="s">
        <v>299</v>
      </c>
    </row>
    <row r="114" spans="1:72" s="3" customFormat="1" ht="18.75" customHeight="1">
      <c r="A114" s="331">
        <v>4627101829352</v>
      </c>
      <c r="B114" s="329">
        <v>3095</v>
      </c>
      <c r="C114" s="251" t="s">
        <v>545</v>
      </c>
      <c r="D114" s="826"/>
      <c r="E114" s="110" t="s">
        <v>208</v>
      </c>
      <c r="F114" s="248"/>
      <c r="G114" s="111"/>
      <c r="H114" s="111"/>
      <c r="I114" s="239"/>
      <c r="J114" s="275">
        <v>140</v>
      </c>
      <c r="K114" s="104">
        <f t="shared" si="35"/>
        <v>0</v>
      </c>
      <c r="L114" s="267">
        <f t="shared" si="27"/>
        <v>147</v>
      </c>
      <c r="M114" s="104">
        <f t="shared" si="28"/>
        <v>0</v>
      </c>
      <c r="N114" s="267">
        <f t="shared" si="29"/>
        <v>154</v>
      </c>
      <c r="O114" s="104">
        <f t="shared" si="30"/>
        <v>0</v>
      </c>
      <c r="P114" s="267">
        <f t="shared" si="31"/>
        <v>161</v>
      </c>
      <c r="Q114" s="104">
        <f t="shared" si="32"/>
        <v>0</v>
      </c>
      <c r="R114" s="267">
        <f t="shared" si="33"/>
        <v>175</v>
      </c>
      <c r="S114" s="104">
        <f t="shared" si="36"/>
        <v>0</v>
      </c>
      <c r="T114" s="105">
        <v>35</v>
      </c>
      <c r="U114" s="105">
        <f>T114*F114</f>
        <v>0</v>
      </c>
      <c r="V114" s="106"/>
      <c r="W114" s="301">
        <v>265</v>
      </c>
      <c r="X114" s="446"/>
      <c r="Y114" s="567">
        <v>12</v>
      </c>
      <c r="Z114" s="189">
        <v>3</v>
      </c>
      <c r="AA114" s="541" t="s">
        <v>511</v>
      </c>
      <c r="AB114" s="537">
        <v>44726</v>
      </c>
      <c r="AC114" s="537">
        <v>47277</v>
      </c>
      <c r="AD114" s="718" t="s">
        <v>512</v>
      </c>
      <c r="AE114" s="719" t="s">
        <v>67</v>
      </c>
      <c r="AF114" s="695" t="s">
        <v>226</v>
      </c>
      <c r="AG114" s="695" t="s">
        <v>360</v>
      </c>
      <c r="AH114" s="547" t="s">
        <v>546</v>
      </c>
      <c r="AI114" s="688" t="s">
        <v>519</v>
      </c>
      <c r="AJ114" s="511"/>
      <c r="AK114" s="568">
        <v>3304990000</v>
      </c>
      <c r="AL114" s="551"/>
      <c r="AM114" s="588" t="s">
        <v>539</v>
      </c>
      <c r="AN114" s="682" t="s">
        <v>540</v>
      </c>
      <c r="AO114" s="682" t="s">
        <v>541</v>
      </c>
      <c r="AP114" s="616" t="s">
        <v>547</v>
      </c>
      <c r="AQ114" s="617" t="s">
        <v>533</v>
      </c>
      <c r="AR114" s="621"/>
      <c r="AS114" s="618"/>
      <c r="AU114" s="511"/>
      <c r="AV114" s="511"/>
      <c r="AW114" s="511"/>
      <c r="AX114" s="512">
        <f>140*45*45/1000000000</f>
        <v>2.8350000000000001E-4</v>
      </c>
      <c r="AY114" s="507">
        <f t="shared" si="25"/>
        <v>0</v>
      </c>
      <c r="AZ114" s="511">
        <v>17</v>
      </c>
      <c r="BA114" s="511">
        <v>13</v>
      </c>
      <c r="BB114" s="511">
        <v>21</v>
      </c>
      <c r="BC114" s="189"/>
      <c r="BD114" s="189"/>
      <c r="BF114" s="447"/>
      <c r="BG114" s="442"/>
      <c r="BH114" s="442"/>
      <c r="BK114" s="42"/>
    </row>
    <row r="115" spans="1:72" s="3" customFormat="1" ht="18.75" customHeight="1">
      <c r="A115" s="331">
        <v>4627101823145</v>
      </c>
      <c r="B115" s="329">
        <v>1860</v>
      </c>
      <c r="C115" s="251" t="s">
        <v>548</v>
      </c>
      <c r="D115" s="826"/>
      <c r="E115" s="110" t="s">
        <v>304</v>
      </c>
      <c r="F115" s="248"/>
      <c r="G115" s="111"/>
      <c r="H115" s="111"/>
      <c r="I115" s="239"/>
      <c r="J115" s="275">
        <v>270</v>
      </c>
      <c r="K115" s="104">
        <f t="shared" si="35"/>
        <v>0</v>
      </c>
      <c r="L115" s="267">
        <f t="shared" si="27"/>
        <v>283.5</v>
      </c>
      <c r="M115" s="104">
        <f t="shared" si="28"/>
        <v>0</v>
      </c>
      <c r="N115" s="267">
        <f t="shared" si="29"/>
        <v>297</v>
      </c>
      <c r="O115" s="104">
        <f t="shared" si="30"/>
        <v>0</v>
      </c>
      <c r="P115" s="267">
        <f t="shared" si="31"/>
        <v>310.5</v>
      </c>
      <c r="Q115" s="104">
        <f t="shared" si="32"/>
        <v>0</v>
      </c>
      <c r="R115" s="267">
        <f t="shared" si="33"/>
        <v>337.5</v>
      </c>
      <c r="S115" s="104">
        <f t="shared" si="36"/>
        <v>0</v>
      </c>
      <c r="T115" s="105">
        <v>155</v>
      </c>
      <c r="U115" s="105">
        <f>F115*T115</f>
        <v>0</v>
      </c>
      <c r="V115" s="106"/>
      <c r="W115" s="301">
        <v>510</v>
      </c>
      <c r="X115" s="446"/>
      <c r="Y115" s="567">
        <v>12</v>
      </c>
      <c r="Z115" s="189">
        <v>3</v>
      </c>
      <c r="AA115" s="541" t="s">
        <v>305</v>
      </c>
      <c r="AB115" s="537">
        <v>44907</v>
      </c>
      <c r="AC115" s="537">
        <v>47463</v>
      </c>
      <c r="AD115" s="718" t="s">
        <v>306</v>
      </c>
      <c r="AE115" s="719" t="s">
        <v>67</v>
      </c>
      <c r="AF115" s="695" t="s">
        <v>226</v>
      </c>
      <c r="AG115" s="695" t="s">
        <v>360</v>
      </c>
      <c r="AH115" s="547" t="s">
        <v>549</v>
      </c>
      <c r="AI115" s="707" t="s">
        <v>550</v>
      </c>
      <c r="AJ115" s="511"/>
      <c r="AK115" s="568">
        <v>3401300000</v>
      </c>
      <c r="AL115" s="551"/>
      <c r="AM115" s="681" t="s">
        <v>551</v>
      </c>
      <c r="AN115" s="682" t="s">
        <v>552</v>
      </c>
      <c r="AO115" s="682" t="s">
        <v>553</v>
      </c>
      <c r="AP115" s="616" t="s">
        <v>554</v>
      </c>
      <c r="AQ115" s="617" t="s">
        <v>555</v>
      </c>
      <c r="AR115" s="621"/>
      <c r="AS115" s="618"/>
      <c r="AU115" s="511"/>
      <c r="AV115" s="511"/>
      <c r="AW115" s="511"/>
      <c r="AX115" s="512">
        <f>165*52*34/1000000000</f>
        <v>2.9171999999999998E-4</v>
      </c>
      <c r="AY115" s="507">
        <f t="shared" si="25"/>
        <v>0</v>
      </c>
      <c r="AZ115" s="511">
        <v>17</v>
      </c>
      <c r="BA115" s="511">
        <v>13</v>
      </c>
      <c r="BB115" s="511">
        <v>21</v>
      </c>
      <c r="BC115" s="189"/>
      <c r="BD115" s="189"/>
      <c r="BF115" s="447"/>
      <c r="BG115" s="442" t="s">
        <v>317</v>
      </c>
      <c r="BH115" s="442"/>
    </row>
    <row r="116" spans="1:72" s="3" customFormat="1" ht="18.75" customHeight="1">
      <c r="A116" s="331">
        <v>4627101822667</v>
      </c>
      <c r="B116" s="329">
        <v>1861</v>
      </c>
      <c r="C116" s="251" t="s">
        <v>556</v>
      </c>
      <c r="D116" s="826"/>
      <c r="E116" s="110" t="s">
        <v>321</v>
      </c>
      <c r="F116" s="248"/>
      <c r="G116" s="111"/>
      <c r="H116" s="111"/>
      <c r="I116" s="239"/>
      <c r="J116" s="275">
        <v>265</v>
      </c>
      <c r="K116" s="104">
        <f t="shared" si="35"/>
        <v>0</v>
      </c>
      <c r="L116" s="267">
        <f t="shared" si="27"/>
        <v>278.25</v>
      </c>
      <c r="M116" s="104">
        <f t="shared" si="28"/>
        <v>0</v>
      </c>
      <c r="N116" s="267">
        <f t="shared" si="29"/>
        <v>291.5</v>
      </c>
      <c r="O116" s="104">
        <f t="shared" si="30"/>
        <v>0</v>
      </c>
      <c r="P116" s="267">
        <f t="shared" si="31"/>
        <v>304.75</v>
      </c>
      <c r="Q116" s="104">
        <f t="shared" si="32"/>
        <v>0</v>
      </c>
      <c r="R116" s="267">
        <f t="shared" si="33"/>
        <v>331.25</v>
      </c>
      <c r="S116" s="104">
        <f t="shared" si="36"/>
        <v>0</v>
      </c>
      <c r="T116" s="105">
        <v>214.5</v>
      </c>
      <c r="U116" s="105">
        <f>T116*F116</f>
        <v>0</v>
      </c>
      <c r="V116" s="106"/>
      <c r="W116" s="301">
        <v>500</v>
      </c>
      <c r="X116" s="446"/>
      <c r="Y116" s="567">
        <v>12</v>
      </c>
      <c r="Z116" s="189">
        <v>3</v>
      </c>
      <c r="AA116" s="776" t="s">
        <v>557</v>
      </c>
      <c r="AB116" s="536" t="s">
        <v>558</v>
      </c>
      <c r="AC116" s="536">
        <v>47460</v>
      </c>
      <c r="AD116" s="714" t="s">
        <v>559</v>
      </c>
      <c r="AE116" s="719" t="s">
        <v>67</v>
      </c>
      <c r="AF116" s="695" t="s">
        <v>226</v>
      </c>
      <c r="AG116" s="695" t="s">
        <v>360</v>
      </c>
      <c r="AH116" s="547" t="s">
        <v>560</v>
      </c>
      <c r="AI116" s="707" t="s">
        <v>561</v>
      </c>
      <c r="AJ116" s="189"/>
      <c r="AK116" s="568">
        <v>3304990000</v>
      </c>
      <c r="AL116" s="551"/>
      <c r="AM116" s="681" t="s">
        <v>562</v>
      </c>
      <c r="AN116" s="682" t="s">
        <v>563</v>
      </c>
      <c r="AO116" s="682" t="s">
        <v>564</v>
      </c>
      <c r="AP116" s="616" t="s">
        <v>565</v>
      </c>
      <c r="AQ116" s="617" t="s">
        <v>566</v>
      </c>
      <c r="AR116" s="621"/>
      <c r="AS116" s="618"/>
      <c r="AU116" s="189"/>
      <c r="AV116" s="189"/>
      <c r="AW116" s="189"/>
      <c r="AX116" s="512">
        <f>170*63*36/1000000000</f>
        <v>3.8556000000000002E-4</v>
      </c>
      <c r="AY116" s="507">
        <f t="shared" si="25"/>
        <v>0</v>
      </c>
      <c r="AZ116" s="189"/>
      <c r="BA116" s="189"/>
      <c r="BB116" s="189"/>
      <c r="BC116" s="189"/>
      <c r="BD116" s="189"/>
      <c r="BF116" s="447"/>
      <c r="BG116" s="442" t="s">
        <v>317</v>
      </c>
      <c r="BH116" s="442"/>
    </row>
    <row r="117" spans="1:72" s="3" customFormat="1" ht="18.75" customHeight="1">
      <c r="A117" s="331">
        <v>4627101823169</v>
      </c>
      <c r="B117" s="329">
        <v>1862</v>
      </c>
      <c r="C117" s="251" t="s">
        <v>567</v>
      </c>
      <c r="D117" s="826"/>
      <c r="E117" s="110" t="s">
        <v>568</v>
      </c>
      <c r="F117" s="248"/>
      <c r="G117" s="111"/>
      <c r="H117" s="111"/>
      <c r="I117" s="239"/>
      <c r="J117" s="275">
        <v>160</v>
      </c>
      <c r="K117" s="104">
        <f t="shared" si="35"/>
        <v>0</v>
      </c>
      <c r="L117" s="267">
        <f t="shared" si="27"/>
        <v>168</v>
      </c>
      <c r="M117" s="104">
        <f t="shared" si="28"/>
        <v>0</v>
      </c>
      <c r="N117" s="267">
        <f t="shared" si="29"/>
        <v>176</v>
      </c>
      <c r="O117" s="104">
        <f t="shared" si="30"/>
        <v>0</v>
      </c>
      <c r="P117" s="267">
        <f t="shared" si="31"/>
        <v>184</v>
      </c>
      <c r="Q117" s="104">
        <f t="shared" si="32"/>
        <v>0</v>
      </c>
      <c r="R117" s="267">
        <f t="shared" si="33"/>
        <v>200</v>
      </c>
      <c r="S117" s="104">
        <f t="shared" si="36"/>
        <v>0</v>
      </c>
      <c r="T117" s="105">
        <v>160</v>
      </c>
      <c r="U117" s="105">
        <f>T117*F117</f>
        <v>0</v>
      </c>
      <c r="V117" s="106"/>
      <c r="W117" s="301">
        <v>305</v>
      </c>
      <c r="X117" s="446"/>
      <c r="Y117" s="567">
        <v>12</v>
      </c>
      <c r="Z117" s="189">
        <v>3</v>
      </c>
      <c r="AA117" s="541" t="s">
        <v>123</v>
      </c>
      <c r="AB117" s="537">
        <v>44193</v>
      </c>
      <c r="AC117" s="537">
        <v>46018</v>
      </c>
      <c r="AD117" s="769" t="s">
        <v>124</v>
      </c>
      <c r="AE117" s="719" t="s">
        <v>67</v>
      </c>
      <c r="AF117" s="695" t="s">
        <v>226</v>
      </c>
      <c r="AG117" s="695" t="s">
        <v>360</v>
      </c>
      <c r="AH117" s="547" t="s">
        <v>165</v>
      </c>
      <c r="AI117" s="688" t="s">
        <v>569</v>
      </c>
      <c r="AJ117" s="516"/>
      <c r="AK117" s="568">
        <v>3401110001</v>
      </c>
      <c r="AL117" s="551"/>
      <c r="AM117" s="630" t="s">
        <v>570</v>
      </c>
      <c r="AN117" s="631" t="s">
        <v>571</v>
      </c>
      <c r="AO117" s="631" t="s">
        <v>572</v>
      </c>
      <c r="AP117" s="616" t="s">
        <v>573</v>
      </c>
      <c r="AQ117" s="617" t="s">
        <v>574</v>
      </c>
      <c r="AR117" s="621"/>
      <c r="AS117" s="618"/>
      <c r="AU117" s="511">
        <v>12</v>
      </c>
      <c r="AV117" s="511" t="s">
        <v>366</v>
      </c>
      <c r="AW117" s="514">
        <f>F117/AU117</f>
        <v>0</v>
      </c>
      <c r="AX117" s="512">
        <f>98*63*32/1000000000*1.05</f>
        <v>2.0744639999999999E-4</v>
      </c>
      <c r="AY117" s="507">
        <f t="shared" si="25"/>
        <v>0</v>
      </c>
      <c r="AZ117" s="511">
        <v>0.2</v>
      </c>
      <c r="BA117" s="511">
        <v>0.14000000000000001</v>
      </c>
      <c r="BB117" s="511">
        <v>0.1</v>
      </c>
      <c r="BC117" s="515">
        <f>BB117*BA117*AZ117*AW117</f>
        <v>0</v>
      </c>
      <c r="BD117" s="189"/>
      <c r="BF117" s="447"/>
      <c r="BG117" s="442" t="s">
        <v>516</v>
      </c>
      <c r="BH117" s="442" t="s">
        <v>517</v>
      </c>
    </row>
    <row r="118" spans="1:72" s="3" customFormat="1" ht="18" customHeight="1">
      <c r="A118" s="331">
        <v>4627101828775</v>
      </c>
      <c r="B118" s="329">
        <v>2824</v>
      </c>
      <c r="C118" s="251" t="s">
        <v>575</v>
      </c>
      <c r="D118" s="826"/>
      <c r="E118" s="110" t="s">
        <v>420</v>
      </c>
      <c r="F118" s="248"/>
      <c r="G118" s="111"/>
      <c r="H118" s="111"/>
      <c r="I118" s="239"/>
      <c r="J118" s="275">
        <v>275</v>
      </c>
      <c r="K118" s="104">
        <f>F118*J118</f>
        <v>0</v>
      </c>
      <c r="L118" s="267">
        <f t="shared" si="27"/>
        <v>288.75</v>
      </c>
      <c r="M118" s="104">
        <f>F118*L118</f>
        <v>0</v>
      </c>
      <c r="N118" s="267">
        <f t="shared" si="29"/>
        <v>302.5</v>
      </c>
      <c r="O118" s="104">
        <f t="shared" si="30"/>
        <v>0</v>
      </c>
      <c r="P118" s="267">
        <f t="shared" si="31"/>
        <v>316.25</v>
      </c>
      <c r="Q118" s="104">
        <f t="shared" si="32"/>
        <v>0</v>
      </c>
      <c r="R118" s="267">
        <f t="shared" si="33"/>
        <v>343.75</v>
      </c>
      <c r="S118" s="104">
        <f t="shared" si="36"/>
        <v>0</v>
      </c>
      <c r="T118" s="105">
        <v>81</v>
      </c>
      <c r="U118" s="105">
        <f>T118*F118</f>
        <v>0</v>
      </c>
      <c r="V118" s="106"/>
      <c r="W118" s="301">
        <v>520</v>
      </c>
      <c r="X118" s="446"/>
      <c r="Y118" s="567">
        <v>12</v>
      </c>
      <c r="Z118" s="189">
        <v>3</v>
      </c>
      <c r="AA118" s="776" t="s">
        <v>442</v>
      </c>
      <c r="AB118" s="536">
        <v>44553</v>
      </c>
      <c r="AC118" s="536">
        <v>46378</v>
      </c>
      <c r="AD118" s="714" t="s">
        <v>576</v>
      </c>
      <c r="AE118" s="719" t="s">
        <v>67</v>
      </c>
      <c r="AF118" s="694" t="s">
        <v>226</v>
      </c>
      <c r="AG118" s="694" t="s">
        <v>323</v>
      </c>
      <c r="AH118" s="547" t="s">
        <v>577</v>
      </c>
      <c r="AI118" s="688" t="s">
        <v>578</v>
      </c>
      <c r="AJ118" s="189"/>
      <c r="AK118" s="568">
        <v>3304990000</v>
      </c>
      <c r="AL118" s="551"/>
      <c r="AM118" s="681" t="s">
        <v>579</v>
      </c>
      <c r="AN118" s="682" t="s">
        <v>580</v>
      </c>
      <c r="AO118" s="682" t="s">
        <v>581</v>
      </c>
      <c r="AP118" s="616" t="s">
        <v>582</v>
      </c>
      <c r="AQ118" s="617" t="s">
        <v>583</v>
      </c>
      <c r="AR118" s="621"/>
      <c r="AS118" s="618"/>
      <c r="AU118" s="189"/>
      <c r="AV118" s="189"/>
      <c r="AW118" s="189"/>
      <c r="AX118" s="512">
        <f>107*33*33/1000000000</f>
        <v>1.16523E-4</v>
      </c>
      <c r="AY118" s="507">
        <f t="shared" si="25"/>
        <v>0</v>
      </c>
      <c r="AZ118" s="189"/>
      <c r="BA118" s="189"/>
      <c r="BB118" s="189"/>
      <c r="BC118" s="189"/>
      <c r="BD118" s="189"/>
      <c r="BF118" s="447"/>
    </row>
    <row r="119" spans="1:72" s="3" customFormat="1" ht="22.5" customHeight="1">
      <c r="A119" s="331">
        <v>4627101823152</v>
      </c>
      <c r="B119" s="329">
        <v>1863</v>
      </c>
      <c r="C119" s="251" t="s">
        <v>584</v>
      </c>
      <c r="D119" s="826"/>
      <c r="E119" s="110" t="s">
        <v>585</v>
      </c>
      <c r="F119" s="248"/>
      <c r="G119" s="111"/>
      <c r="H119" s="111"/>
      <c r="I119" s="239"/>
      <c r="J119" s="275">
        <v>330</v>
      </c>
      <c r="K119" s="104">
        <f>J119*F119</f>
        <v>0</v>
      </c>
      <c r="L119" s="267">
        <f t="shared" si="27"/>
        <v>346.5</v>
      </c>
      <c r="M119" s="104">
        <f>L119*F119</f>
        <v>0</v>
      </c>
      <c r="N119" s="267">
        <f t="shared" si="29"/>
        <v>363</v>
      </c>
      <c r="O119" s="104">
        <f t="shared" si="30"/>
        <v>0</v>
      </c>
      <c r="P119" s="267">
        <f t="shared" si="31"/>
        <v>379.5</v>
      </c>
      <c r="Q119" s="104">
        <f t="shared" si="32"/>
        <v>0</v>
      </c>
      <c r="R119" s="267">
        <f t="shared" si="33"/>
        <v>412.5</v>
      </c>
      <c r="S119" s="104">
        <f t="shared" si="36"/>
        <v>0</v>
      </c>
      <c r="T119" s="105">
        <v>285</v>
      </c>
      <c r="U119" s="105">
        <f>F119*T119</f>
        <v>0</v>
      </c>
      <c r="V119" s="106"/>
      <c r="W119" s="301">
        <v>625</v>
      </c>
      <c r="X119" s="446"/>
      <c r="Y119" s="567">
        <v>12</v>
      </c>
      <c r="Z119" s="189">
        <v>3</v>
      </c>
      <c r="AA119" s="541" t="s">
        <v>586</v>
      </c>
      <c r="AB119" s="537">
        <v>44727</v>
      </c>
      <c r="AC119" s="537">
        <v>47278</v>
      </c>
      <c r="AD119" s="718" t="s">
        <v>587</v>
      </c>
      <c r="AE119" s="719" t="s">
        <v>67</v>
      </c>
      <c r="AF119" s="695" t="s">
        <v>226</v>
      </c>
      <c r="AG119" s="695" t="s">
        <v>588</v>
      </c>
      <c r="AH119" s="547" t="s">
        <v>589</v>
      </c>
      <c r="AI119" s="707" t="s">
        <v>590</v>
      </c>
      <c r="AJ119" s="189"/>
      <c r="AK119" s="568">
        <v>3305100000</v>
      </c>
      <c r="AL119" s="551"/>
      <c r="AM119" s="681" t="s">
        <v>591</v>
      </c>
      <c r="AN119" s="682" t="s">
        <v>592</v>
      </c>
      <c r="AO119" s="682" t="s">
        <v>593</v>
      </c>
      <c r="AP119" s="616" t="s">
        <v>594</v>
      </c>
      <c r="AQ119" s="617" t="s">
        <v>595</v>
      </c>
      <c r="AR119" s="621"/>
      <c r="AS119" s="618"/>
      <c r="AU119" s="189"/>
      <c r="AV119" s="189"/>
      <c r="AW119" s="189"/>
      <c r="AX119" s="512">
        <f>179*49*49/1000000000</f>
        <v>4.2977899999999998E-4</v>
      </c>
      <c r="AY119" s="507">
        <f t="shared" si="25"/>
        <v>0</v>
      </c>
      <c r="AZ119" s="189"/>
      <c r="BA119" s="189"/>
      <c r="BB119" s="189"/>
      <c r="BC119" s="189"/>
      <c r="BD119" s="189"/>
      <c r="BF119" s="447"/>
    </row>
    <row r="120" spans="1:72" ht="25.5" customHeight="1">
      <c r="A120" s="485" t="s">
        <v>156</v>
      </c>
      <c r="B120" s="333"/>
      <c r="C120" s="334" t="s">
        <v>596</v>
      </c>
      <c r="D120" s="828"/>
      <c r="E120" s="335"/>
      <c r="F120" s="491"/>
      <c r="G120" s="336"/>
      <c r="H120" s="336"/>
      <c r="I120" s="336"/>
      <c r="J120" s="311"/>
      <c r="K120" s="488">
        <f>K124+K125+K126+K127+K128+K129+K130+K131+K132+K133+K134+K123+K122+K121</f>
        <v>0</v>
      </c>
      <c r="L120" s="489"/>
      <c r="M120" s="488">
        <f>M124+M125+M126+M127+M128+M129+M130+M131+M132+M133+M134+M123+M122+M121</f>
        <v>0</v>
      </c>
      <c r="N120" s="489"/>
      <c r="O120" s="488">
        <f>O124+O125+O126+O127+O128+O129+O130+O131+O132+O133+O134+O123+O122+O121</f>
        <v>0</v>
      </c>
      <c r="P120" s="489"/>
      <c r="Q120" s="488">
        <f>Q124+Q125+Q126+Q127+Q128+Q129+Q130+Q131+Q132+Q133+Q134+Q123+Q122+Q121</f>
        <v>0</v>
      </c>
      <c r="R120" s="489"/>
      <c r="S120" s="488">
        <f>S124+S125+S126+S127+S128+S129+S130+S131+S132+S133+S134+S123+S122+S121</f>
        <v>0</v>
      </c>
      <c r="T120" s="312"/>
      <c r="U120" s="313">
        <f>U124+U125+U126+U127+U128+U129+U130+U131+U132+U133+U134+U123</f>
        <v>0</v>
      </c>
      <c r="V120" s="293"/>
      <c r="W120" s="293"/>
      <c r="Y120" s="562"/>
      <c r="Z120" s="293"/>
      <c r="AA120" s="772"/>
      <c r="AB120" s="543"/>
      <c r="AC120" s="543"/>
      <c r="AD120" s="716"/>
      <c r="AE120" s="716"/>
      <c r="AF120" s="701"/>
      <c r="AG120" s="701"/>
      <c r="AH120" s="546"/>
      <c r="AI120" s="675"/>
      <c r="AJ120" s="293"/>
      <c r="AK120" s="563"/>
      <c r="AL120" s="554"/>
      <c r="AM120" s="562"/>
      <c r="AN120" s="293"/>
      <c r="AO120" s="293"/>
      <c r="AP120" s="293"/>
      <c r="AQ120" s="293"/>
      <c r="AR120" s="293"/>
      <c r="AS120" s="563"/>
      <c r="AU120" s="293"/>
      <c r="AV120" s="293"/>
      <c r="AW120" s="293"/>
      <c r="AX120" s="293"/>
      <c r="AY120" s="293"/>
      <c r="AZ120" s="293"/>
      <c r="BA120" s="293"/>
      <c r="BB120" s="293"/>
      <c r="BC120" s="293"/>
      <c r="BD120" s="293"/>
      <c r="BF120" s="445"/>
    </row>
    <row r="121" spans="1:72" ht="21" customHeight="1">
      <c r="A121" s="1015" t="s">
        <v>597</v>
      </c>
      <c r="B121" s="278">
        <v>4598</v>
      </c>
      <c r="C121" s="279" t="s">
        <v>598</v>
      </c>
      <c r="D121" s="828"/>
      <c r="E121" s="335"/>
      <c r="F121" s="325"/>
      <c r="G121" s="337"/>
      <c r="H121" s="337"/>
      <c r="I121" s="337"/>
      <c r="J121" s="267">
        <v>475</v>
      </c>
      <c r="K121" s="246">
        <f>J121*F121</f>
        <v>0</v>
      </c>
      <c r="L121" s="267">
        <v>499</v>
      </c>
      <c r="M121" s="246">
        <f>L121*F121</f>
        <v>0</v>
      </c>
      <c r="N121" s="267">
        <v>522</v>
      </c>
      <c r="O121" s="246">
        <f>N121*F121</f>
        <v>0</v>
      </c>
      <c r="P121" s="267">
        <v>546</v>
      </c>
      <c r="Q121" s="246">
        <f>P121*F121</f>
        <v>0</v>
      </c>
      <c r="R121" s="267">
        <v>594</v>
      </c>
      <c r="S121" s="246">
        <f>R121*F121</f>
        <v>0</v>
      </c>
      <c r="T121" s="246"/>
      <c r="U121" s="246">
        <f>T121*F121</f>
        <v>0</v>
      </c>
      <c r="V121" s="1016"/>
      <c r="W121" s="301">
        <v>900</v>
      </c>
      <c r="Y121" s="189"/>
      <c r="Z121" s="189"/>
      <c r="AA121" s="541" t="s">
        <v>599</v>
      </c>
      <c r="AB121" s="537">
        <v>45254</v>
      </c>
      <c r="AC121" s="537">
        <v>47810</v>
      </c>
      <c r="AD121" s="768" t="s">
        <v>600</v>
      </c>
      <c r="AE121" s="1019"/>
      <c r="AF121" s="1020"/>
      <c r="AG121" s="1020"/>
      <c r="AH121" s="1021"/>
      <c r="AI121" s="1022"/>
      <c r="AJ121" s="1018"/>
      <c r="AK121" s="1023"/>
      <c r="AL121" s="1024"/>
      <c r="AM121" s="1017"/>
      <c r="AN121" s="1018"/>
      <c r="AO121" s="1018"/>
      <c r="AP121" s="1018"/>
      <c r="AQ121" s="1018"/>
      <c r="AR121" s="1018"/>
      <c r="AS121" s="1023"/>
      <c r="AU121" s="293"/>
      <c r="AV121" s="293"/>
      <c r="AW121" s="293"/>
      <c r="AX121" s="293"/>
      <c r="AY121" s="293"/>
      <c r="AZ121" s="293"/>
      <c r="BA121" s="293"/>
      <c r="BB121" s="293"/>
      <c r="BC121" s="293"/>
      <c r="BD121" s="293"/>
      <c r="BF121" s="445"/>
    </row>
    <row r="122" spans="1:72" ht="23.25" customHeight="1">
      <c r="A122" s="277" t="s">
        <v>601</v>
      </c>
      <c r="B122" s="278">
        <v>1489</v>
      </c>
      <c r="C122" s="279" t="s">
        <v>602</v>
      </c>
      <c r="D122" s="829"/>
      <c r="E122" s="280" t="s">
        <v>510</v>
      </c>
      <c r="F122" s="325"/>
      <c r="G122" s="337"/>
      <c r="H122" s="337"/>
      <c r="I122" s="337"/>
      <c r="J122" s="267">
        <v>170</v>
      </c>
      <c r="K122" s="246">
        <f>J122*F122</f>
        <v>0</v>
      </c>
      <c r="L122" s="267">
        <f>J122+J122*5%</f>
        <v>178.5</v>
      </c>
      <c r="M122" s="246">
        <f>L122*F122</f>
        <v>0</v>
      </c>
      <c r="N122" s="267">
        <f>J122+J122*10%</f>
        <v>187</v>
      </c>
      <c r="O122" s="246">
        <f>N122*F122</f>
        <v>0</v>
      </c>
      <c r="P122" s="267">
        <f>J122+J122*15%</f>
        <v>195.5</v>
      </c>
      <c r="Q122" s="246">
        <f>P122*F122</f>
        <v>0</v>
      </c>
      <c r="R122" s="267">
        <f>J122+J122*25%</f>
        <v>212.5</v>
      </c>
      <c r="S122" s="246">
        <f>R122*F122</f>
        <v>0</v>
      </c>
      <c r="T122" s="242"/>
      <c r="U122" s="242">
        <f>T122*F122</f>
        <v>0</v>
      </c>
      <c r="V122" s="243"/>
      <c r="W122" s="301">
        <v>320</v>
      </c>
      <c r="Y122" s="567"/>
      <c r="Z122" s="189"/>
      <c r="AA122" s="541" t="s">
        <v>603</v>
      </c>
      <c r="AB122" s="537">
        <v>43894</v>
      </c>
      <c r="AC122" s="537">
        <v>45719</v>
      </c>
      <c r="AD122" s="768" t="s">
        <v>604</v>
      </c>
      <c r="AE122" s="757" t="s">
        <v>67</v>
      </c>
      <c r="AF122" s="695"/>
      <c r="AG122" s="695"/>
      <c r="AH122" s="547" t="s">
        <v>605</v>
      </c>
      <c r="AI122" s="686" t="s">
        <v>606</v>
      </c>
      <c r="AJ122" s="133"/>
      <c r="AK122" s="569">
        <v>3304100000</v>
      </c>
      <c r="AL122" s="556"/>
      <c r="AM122" s="683" t="s">
        <v>607</v>
      </c>
      <c r="AN122" s="685" t="s">
        <v>608</v>
      </c>
      <c r="AO122" s="685" t="s">
        <v>609</v>
      </c>
      <c r="AP122" s="616" t="s">
        <v>610</v>
      </c>
      <c r="AQ122" s="613" t="s">
        <v>611</v>
      </c>
      <c r="AR122" s="634"/>
      <c r="AS122" s="635"/>
      <c r="AU122" s="133"/>
      <c r="AV122" s="133"/>
      <c r="AW122" s="133"/>
      <c r="AX122" s="510"/>
      <c r="AY122" s="507">
        <f t="shared" ref="AY122:AY134" si="37">AX122*F122</f>
        <v>0</v>
      </c>
      <c r="AZ122" s="133"/>
      <c r="BA122" s="133"/>
      <c r="BB122" s="133"/>
      <c r="BC122" s="517"/>
      <c r="BD122" s="133"/>
      <c r="BF122" s="445"/>
    </row>
    <row r="123" spans="1:72" s="32" customFormat="1" ht="23.25" customHeight="1">
      <c r="A123" s="282" t="s">
        <v>612</v>
      </c>
      <c r="B123" s="100">
        <v>3436</v>
      </c>
      <c r="C123" s="253" t="s">
        <v>613</v>
      </c>
      <c r="D123" s="830"/>
      <c r="E123" s="101" t="s">
        <v>304</v>
      </c>
      <c r="F123" s="326"/>
      <c r="G123" s="338"/>
      <c r="H123" s="338"/>
      <c r="I123" s="338"/>
      <c r="J123" s="339">
        <v>295</v>
      </c>
      <c r="K123" s="340">
        <f t="shared" ref="K123:K134" si="38">J123*F123</f>
        <v>0</v>
      </c>
      <c r="L123" s="267">
        <f t="shared" ref="L123:L134" si="39">J123+J123*5%</f>
        <v>309.75</v>
      </c>
      <c r="M123" s="340">
        <f>L123*F123</f>
        <v>0</v>
      </c>
      <c r="N123" s="267">
        <f t="shared" ref="N123:N134" si="40">J123+J123*10%</f>
        <v>324.5</v>
      </c>
      <c r="O123" s="340">
        <f>N123*F123</f>
        <v>0</v>
      </c>
      <c r="P123" s="267">
        <f t="shared" ref="P123:P134" si="41">J123+J123*15%</f>
        <v>339.25</v>
      </c>
      <c r="Q123" s="340">
        <f>P123*F123</f>
        <v>0</v>
      </c>
      <c r="R123" s="267">
        <f t="shared" ref="R123:R134" si="42">J123+J123*25%</f>
        <v>368.75</v>
      </c>
      <c r="S123" s="340">
        <f>R123*F123</f>
        <v>0</v>
      </c>
      <c r="T123" s="112">
        <v>160</v>
      </c>
      <c r="U123" s="341">
        <f t="shared" ref="U123:U134" si="43">T123*F123</f>
        <v>0</v>
      </c>
      <c r="V123" s="342"/>
      <c r="W123" s="301">
        <v>560</v>
      </c>
      <c r="X123" s="285"/>
      <c r="Y123" s="567">
        <v>12</v>
      </c>
      <c r="Z123" s="189">
        <v>3</v>
      </c>
      <c r="AA123" s="776" t="s">
        <v>614</v>
      </c>
      <c r="AB123" s="536">
        <v>43998</v>
      </c>
      <c r="AC123" s="536">
        <v>45823</v>
      </c>
      <c r="AD123" s="770" t="s">
        <v>615</v>
      </c>
      <c r="AE123" s="758" t="s">
        <v>141</v>
      </c>
      <c r="AF123" s="695" t="s">
        <v>444</v>
      </c>
      <c r="AG123" s="695" t="s">
        <v>291</v>
      </c>
      <c r="AH123" s="547" t="s">
        <v>616</v>
      </c>
      <c r="AI123" s="687" t="s">
        <v>617</v>
      </c>
      <c r="AJ123" s="133"/>
      <c r="AK123" s="569">
        <v>3304990000</v>
      </c>
      <c r="AL123" s="556"/>
      <c r="AM123" s="588" t="s">
        <v>618</v>
      </c>
      <c r="AN123" s="273" t="s">
        <v>619</v>
      </c>
      <c r="AO123" s="273" t="s">
        <v>620</v>
      </c>
      <c r="AP123" s="636" t="s">
        <v>621</v>
      </c>
      <c r="AQ123" s="613" t="s">
        <v>622</v>
      </c>
      <c r="AR123" s="634"/>
      <c r="AS123" s="635"/>
      <c r="AT123" s="4"/>
      <c r="AU123" s="133"/>
      <c r="AV123" s="133"/>
      <c r="AW123" s="133"/>
      <c r="AX123" s="510"/>
      <c r="AY123" s="507">
        <f t="shared" si="37"/>
        <v>0</v>
      </c>
      <c r="AZ123" s="133"/>
      <c r="BA123" s="133"/>
      <c r="BB123" s="133"/>
      <c r="BC123" s="517"/>
      <c r="BD123" s="133"/>
      <c r="BE123" s="4"/>
      <c r="BF123" s="445"/>
      <c r="BG123" s="4"/>
      <c r="BH123" s="4"/>
      <c r="BI123" s="4"/>
      <c r="BJ123" s="4"/>
      <c r="BK123" s="4"/>
      <c r="BL123" s="4"/>
      <c r="BM123" s="4"/>
      <c r="BN123" s="4"/>
      <c r="BO123" s="4"/>
      <c r="BP123" s="4"/>
      <c r="BQ123" s="4"/>
      <c r="BR123" s="4"/>
      <c r="BS123" s="4"/>
      <c r="BT123" s="4"/>
    </row>
    <row r="124" spans="1:72" ht="23.25" customHeight="1">
      <c r="A124" s="116">
        <v>4627101822186</v>
      </c>
      <c r="B124" s="100">
        <v>1488</v>
      </c>
      <c r="C124" s="251" t="s">
        <v>623</v>
      </c>
      <c r="D124" s="826"/>
      <c r="E124" s="110" t="s">
        <v>287</v>
      </c>
      <c r="F124" s="249"/>
      <c r="G124" s="190"/>
      <c r="H124" s="190"/>
      <c r="I124" s="190"/>
      <c r="J124" s="104">
        <v>245</v>
      </c>
      <c r="K124" s="104">
        <f t="shared" si="38"/>
        <v>0</v>
      </c>
      <c r="L124" s="267">
        <f t="shared" si="39"/>
        <v>257.25</v>
      </c>
      <c r="M124" s="104">
        <f>F124*L124</f>
        <v>0</v>
      </c>
      <c r="N124" s="267">
        <f t="shared" si="40"/>
        <v>269.5</v>
      </c>
      <c r="O124" s="104">
        <f>F124*N124</f>
        <v>0</v>
      </c>
      <c r="P124" s="267">
        <f t="shared" si="41"/>
        <v>281.75</v>
      </c>
      <c r="Q124" s="104">
        <f>F124*P124</f>
        <v>0</v>
      </c>
      <c r="R124" s="267">
        <f t="shared" si="42"/>
        <v>306.25</v>
      </c>
      <c r="S124" s="104">
        <f>F124*R124</f>
        <v>0</v>
      </c>
      <c r="T124" s="112">
        <v>125</v>
      </c>
      <c r="U124" s="105">
        <f t="shared" si="43"/>
        <v>0</v>
      </c>
      <c r="V124" s="343"/>
      <c r="W124" s="301">
        <v>465</v>
      </c>
      <c r="Y124" s="567">
        <v>12</v>
      </c>
      <c r="Z124" s="189">
        <v>3</v>
      </c>
      <c r="AA124" s="541" t="s">
        <v>624</v>
      </c>
      <c r="AB124" s="537">
        <v>44727</v>
      </c>
      <c r="AC124" s="537">
        <v>47278</v>
      </c>
      <c r="AD124" s="718" t="s">
        <v>625</v>
      </c>
      <c r="AE124" s="758" t="s">
        <v>141</v>
      </c>
      <c r="AF124" s="695" t="s">
        <v>444</v>
      </c>
      <c r="AG124" s="695" t="s">
        <v>291</v>
      </c>
      <c r="AH124" s="547" t="s">
        <v>626</v>
      </c>
      <c r="AI124" s="687" t="s">
        <v>293</v>
      </c>
      <c r="AJ124" s="189"/>
      <c r="AK124" s="568">
        <v>3401300000</v>
      </c>
      <c r="AM124" s="588" t="s">
        <v>627</v>
      </c>
      <c r="AN124" s="273" t="s">
        <v>628</v>
      </c>
      <c r="AO124" s="273" t="s">
        <v>629</v>
      </c>
      <c r="AP124" s="612" t="s">
        <v>630</v>
      </c>
      <c r="AQ124" s="617" t="s">
        <v>631</v>
      </c>
      <c r="AR124" s="619" t="s">
        <v>340</v>
      </c>
      <c r="AS124" s="615"/>
      <c r="AU124" s="189"/>
      <c r="AV124" s="189"/>
      <c r="AW124" s="189"/>
      <c r="AX124" s="512">
        <f>145*56*28/1000000000</f>
        <v>2.2735999999999999E-4</v>
      </c>
      <c r="AY124" s="507">
        <f t="shared" si="37"/>
        <v>0</v>
      </c>
      <c r="AZ124" s="189"/>
      <c r="BA124" s="189"/>
      <c r="BB124" s="189"/>
      <c r="BC124" s="517"/>
      <c r="BD124" s="189" t="s">
        <v>315</v>
      </c>
      <c r="BF124" s="445"/>
      <c r="BG124" s="442" t="s">
        <v>301</v>
      </c>
      <c r="BH124" s="442" t="s">
        <v>302</v>
      </c>
    </row>
    <row r="125" spans="1:72" ht="23.25" customHeight="1">
      <c r="A125" s="116">
        <v>4627101829758</v>
      </c>
      <c r="B125" s="100">
        <v>3263</v>
      </c>
      <c r="C125" s="251" t="s">
        <v>632</v>
      </c>
      <c r="D125" s="826"/>
      <c r="E125" s="110" t="s">
        <v>208</v>
      </c>
      <c r="F125" s="249"/>
      <c r="G125" s="190"/>
      <c r="H125" s="190"/>
      <c r="I125" s="190"/>
      <c r="J125" s="104">
        <v>300</v>
      </c>
      <c r="K125" s="104">
        <f t="shared" si="38"/>
        <v>0</v>
      </c>
      <c r="L125" s="267">
        <f t="shared" si="39"/>
        <v>315</v>
      </c>
      <c r="M125" s="104">
        <f>L125*F125</f>
        <v>0</v>
      </c>
      <c r="N125" s="267">
        <f t="shared" si="40"/>
        <v>330</v>
      </c>
      <c r="O125" s="104">
        <f>N125*F125</f>
        <v>0</v>
      </c>
      <c r="P125" s="267">
        <f t="shared" si="41"/>
        <v>345</v>
      </c>
      <c r="Q125" s="104">
        <f>P125*F125</f>
        <v>0</v>
      </c>
      <c r="R125" s="267">
        <f t="shared" si="42"/>
        <v>375</v>
      </c>
      <c r="S125" s="104">
        <f>R125*F125</f>
        <v>0</v>
      </c>
      <c r="T125" s="112">
        <v>45</v>
      </c>
      <c r="U125" s="105">
        <f t="shared" si="43"/>
        <v>0</v>
      </c>
      <c r="V125" s="343"/>
      <c r="W125" s="301">
        <v>570</v>
      </c>
      <c r="Y125" s="567">
        <v>12</v>
      </c>
      <c r="Z125" s="189">
        <v>3</v>
      </c>
      <c r="AA125" s="541" t="s">
        <v>374</v>
      </c>
      <c r="AB125" s="537">
        <v>43704</v>
      </c>
      <c r="AC125" s="537">
        <v>45530</v>
      </c>
      <c r="AD125" s="719" t="s">
        <v>375</v>
      </c>
      <c r="AE125" s="758" t="s">
        <v>141</v>
      </c>
      <c r="AF125" s="697" t="s">
        <v>633</v>
      </c>
      <c r="AG125" s="697" t="s">
        <v>634</v>
      </c>
      <c r="AH125" s="547" t="s">
        <v>393</v>
      </c>
      <c r="AI125" s="688" t="s">
        <v>394</v>
      </c>
      <c r="AJ125" s="189"/>
      <c r="AK125" s="568">
        <v>3304990000</v>
      </c>
      <c r="AM125" s="588" t="s">
        <v>635</v>
      </c>
      <c r="AN125" s="273" t="s">
        <v>636</v>
      </c>
      <c r="AO125" s="273" t="s">
        <v>637</v>
      </c>
      <c r="AP125" s="612" t="s">
        <v>638</v>
      </c>
      <c r="AQ125" s="637" t="s">
        <v>639</v>
      </c>
      <c r="AR125" s="619"/>
      <c r="AS125" s="615"/>
      <c r="AU125" s="189"/>
      <c r="AV125" s="189"/>
      <c r="AW125" s="189"/>
      <c r="AX125" s="512"/>
      <c r="AY125" s="507">
        <f t="shared" si="37"/>
        <v>0</v>
      </c>
      <c r="AZ125" s="189"/>
      <c r="BA125" s="189"/>
      <c r="BB125" s="189"/>
      <c r="BC125" s="517"/>
      <c r="BD125" s="189"/>
      <c r="BF125" s="445"/>
      <c r="BG125" s="442"/>
      <c r="BH125" s="442"/>
    </row>
    <row r="126" spans="1:72" ht="23.25" customHeight="1">
      <c r="A126" s="116">
        <v>4627101820199</v>
      </c>
      <c r="B126" s="108">
        <v>1491</v>
      </c>
      <c r="C126" s="251" t="s">
        <v>640</v>
      </c>
      <c r="D126" s="826"/>
      <c r="E126" s="110" t="s">
        <v>401</v>
      </c>
      <c r="F126" s="249"/>
      <c r="G126" s="190"/>
      <c r="H126" s="190"/>
      <c r="I126" s="190"/>
      <c r="J126" s="238">
        <v>420</v>
      </c>
      <c r="K126" s="104">
        <f t="shared" si="38"/>
        <v>0</v>
      </c>
      <c r="L126" s="267">
        <f t="shared" si="39"/>
        <v>441</v>
      </c>
      <c r="M126" s="104">
        <f>F126*L126</f>
        <v>0</v>
      </c>
      <c r="N126" s="267">
        <f t="shared" si="40"/>
        <v>462</v>
      </c>
      <c r="O126" s="104">
        <f>F126*N126</f>
        <v>0</v>
      </c>
      <c r="P126" s="267">
        <f t="shared" si="41"/>
        <v>483</v>
      </c>
      <c r="Q126" s="104">
        <f>F126*P126</f>
        <v>0</v>
      </c>
      <c r="R126" s="267">
        <f t="shared" si="42"/>
        <v>525</v>
      </c>
      <c r="S126" s="104">
        <f>F126*R126</f>
        <v>0</v>
      </c>
      <c r="T126" s="479">
        <v>122</v>
      </c>
      <c r="U126" s="105">
        <f t="shared" si="43"/>
        <v>0</v>
      </c>
      <c r="V126" s="106"/>
      <c r="W126" s="301">
        <v>795</v>
      </c>
      <c r="Y126" s="567">
        <v>12</v>
      </c>
      <c r="Z126" s="189">
        <v>3</v>
      </c>
      <c r="AA126" s="541" t="s">
        <v>374</v>
      </c>
      <c r="AB126" s="537">
        <v>43704</v>
      </c>
      <c r="AC126" s="537">
        <v>45530</v>
      </c>
      <c r="AD126" s="714" t="s">
        <v>375</v>
      </c>
      <c r="AE126" s="758" t="s">
        <v>141</v>
      </c>
      <c r="AF126" s="694" t="s">
        <v>633</v>
      </c>
      <c r="AG126" s="694" t="s">
        <v>634</v>
      </c>
      <c r="AH126" s="547" t="s">
        <v>402</v>
      </c>
      <c r="AI126" s="688" t="s">
        <v>641</v>
      </c>
      <c r="AJ126" s="511"/>
      <c r="AK126" s="568">
        <v>3304990000</v>
      </c>
      <c r="AM126" s="588" t="s">
        <v>635</v>
      </c>
      <c r="AN126" s="273" t="s">
        <v>636</v>
      </c>
      <c r="AO126" s="273" t="s">
        <v>637</v>
      </c>
      <c r="AP126" s="616" t="s">
        <v>642</v>
      </c>
      <c r="AQ126" s="637" t="s">
        <v>639</v>
      </c>
      <c r="AR126" s="621"/>
      <c r="AS126" s="618"/>
      <c r="AU126" s="511"/>
      <c r="AV126" s="511"/>
      <c r="AW126" s="511"/>
      <c r="AX126" s="512">
        <f>137*39*39/1000000000</f>
        <v>2.0837699999999999E-4</v>
      </c>
      <c r="AY126" s="507">
        <f t="shared" si="37"/>
        <v>0</v>
      </c>
      <c r="AZ126" s="511">
        <v>14</v>
      </c>
      <c r="BA126" s="511">
        <v>12</v>
      </c>
      <c r="BB126" s="511">
        <v>16</v>
      </c>
      <c r="BC126" s="517"/>
      <c r="BD126" s="189" t="s">
        <v>264</v>
      </c>
      <c r="BF126" s="445"/>
      <c r="BG126" s="442" t="s">
        <v>406</v>
      </c>
      <c r="BH126" s="442" t="s">
        <v>407</v>
      </c>
    </row>
    <row r="127" spans="1:72" ht="23.25" customHeight="1">
      <c r="A127" s="116">
        <v>4627101829765</v>
      </c>
      <c r="B127" s="108">
        <v>3264</v>
      </c>
      <c r="C127" s="251" t="s">
        <v>643</v>
      </c>
      <c r="D127" s="826"/>
      <c r="E127" s="110" t="s">
        <v>208</v>
      </c>
      <c r="F127" s="249"/>
      <c r="G127" s="190"/>
      <c r="H127" s="190"/>
      <c r="I127" s="190"/>
      <c r="J127" s="238">
        <v>300</v>
      </c>
      <c r="K127" s="104">
        <f t="shared" si="38"/>
        <v>0</v>
      </c>
      <c r="L127" s="267">
        <f t="shared" si="39"/>
        <v>315</v>
      </c>
      <c r="M127" s="104">
        <f>L127*F127</f>
        <v>0</v>
      </c>
      <c r="N127" s="267">
        <f t="shared" si="40"/>
        <v>330</v>
      </c>
      <c r="O127" s="104">
        <f>N127*F127</f>
        <v>0</v>
      </c>
      <c r="P127" s="267">
        <f t="shared" si="41"/>
        <v>345</v>
      </c>
      <c r="Q127" s="104">
        <f>P127*F127</f>
        <v>0</v>
      </c>
      <c r="R127" s="267">
        <f t="shared" si="42"/>
        <v>375</v>
      </c>
      <c r="S127" s="104">
        <f>R127*F127</f>
        <v>0</v>
      </c>
      <c r="T127" s="105">
        <v>45</v>
      </c>
      <c r="U127" s="105">
        <f t="shared" si="43"/>
        <v>0</v>
      </c>
      <c r="V127" s="106"/>
      <c r="W127" s="301">
        <v>570</v>
      </c>
      <c r="Y127" s="567">
        <v>12</v>
      </c>
      <c r="Z127" s="189">
        <v>3</v>
      </c>
      <c r="AA127" s="541" t="s">
        <v>511</v>
      </c>
      <c r="AB127" s="537">
        <v>44726</v>
      </c>
      <c r="AC127" s="537">
        <v>47277</v>
      </c>
      <c r="AD127" s="718" t="s">
        <v>512</v>
      </c>
      <c r="AE127" s="758" t="s">
        <v>141</v>
      </c>
      <c r="AF127" s="695" t="s">
        <v>633</v>
      </c>
      <c r="AG127" s="695" t="s">
        <v>644</v>
      </c>
      <c r="AH127" s="547" t="s">
        <v>393</v>
      </c>
      <c r="AI127" s="688" t="s">
        <v>394</v>
      </c>
      <c r="AJ127" s="511"/>
      <c r="AK127" s="568">
        <v>3304990000</v>
      </c>
      <c r="AM127" s="588" t="s">
        <v>645</v>
      </c>
      <c r="AN127" s="273" t="s">
        <v>646</v>
      </c>
      <c r="AO127" s="273" t="s">
        <v>647</v>
      </c>
      <c r="AP127" s="616" t="s">
        <v>648</v>
      </c>
      <c r="AQ127" s="637" t="s">
        <v>649</v>
      </c>
      <c r="AR127" s="621"/>
      <c r="AS127" s="618"/>
      <c r="AU127" s="511"/>
      <c r="AV127" s="511"/>
      <c r="AW127" s="511"/>
      <c r="AX127" s="512"/>
      <c r="AY127" s="507">
        <f t="shared" si="37"/>
        <v>0</v>
      </c>
      <c r="AZ127" s="511"/>
      <c r="BA127" s="511"/>
      <c r="BB127" s="511"/>
      <c r="BC127" s="517"/>
      <c r="BD127" s="189"/>
      <c r="BF127" s="445"/>
      <c r="BG127" s="442"/>
      <c r="BH127" s="442"/>
    </row>
    <row r="128" spans="1:72" ht="23.25" customHeight="1">
      <c r="A128" s="116">
        <v>4627101820205</v>
      </c>
      <c r="B128" s="100">
        <v>1492</v>
      </c>
      <c r="C128" s="251" t="s">
        <v>650</v>
      </c>
      <c r="D128" s="826"/>
      <c r="E128" s="110" t="s">
        <v>401</v>
      </c>
      <c r="F128" s="249"/>
      <c r="G128" s="190"/>
      <c r="H128" s="190"/>
      <c r="I128" s="190"/>
      <c r="J128" s="238">
        <v>410</v>
      </c>
      <c r="K128" s="104">
        <f t="shared" si="38"/>
        <v>0</v>
      </c>
      <c r="L128" s="267">
        <f t="shared" si="39"/>
        <v>430.5</v>
      </c>
      <c r="M128" s="104">
        <f t="shared" ref="M128:M133" si="44">F128*L128</f>
        <v>0</v>
      </c>
      <c r="N128" s="267">
        <f t="shared" si="40"/>
        <v>451</v>
      </c>
      <c r="O128" s="104">
        <f t="shared" ref="O128:O133" si="45">F128*N128</f>
        <v>0</v>
      </c>
      <c r="P128" s="267">
        <f t="shared" si="41"/>
        <v>471.5</v>
      </c>
      <c r="Q128" s="104">
        <f t="shared" ref="Q128:Q133" si="46">F128*P128</f>
        <v>0</v>
      </c>
      <c r="R128" s="267">
        <f t="shared" si="42"/>
        <v>512.5</v>
      </c>
      <c r="S128" s="104">
        <f t="shared" ref="S128:S133" si="47">F128*R128</f>
        <v>0</v>
      </c>
      <c r="T128" s="479">
        <v>122</v>
      </c>
      <c r="U128" s="105">
        <f t="shared" si="43"/>
        <v>0</v>
      </c>
      <c r="V128" s="106"/>
      <c r="W128" s="301">
        <v>775</v>
      </c>
      <c r="Y128" s="567">
        <v>12</v>
      </c>
      <c r="Z128" s="189">
        <v>3</v>
      </c>
      <c r="AA128" s="541" t="s">
        <v>511</v>
      </c>
      <c r="AB128" s="537">
        <v>44726</v>
      </c>
      <c r="AC128" s="537">
        <v>47277</v>
      </c>
      <c r="AD128" s="718" t="s">
        <v>512</v>
      </c>
      <c r="AE128" s="758" t="s">
        <v>141</v>
      </c>
      <c r="AF128" s="695" t="s">
        <v>633</v>
      </c>
      <c r="AG128" s="695" t="s">
        <v>644</v>
      </c>
      <c r="AH128" s="547" t="s">
        <v>402</v>
      </c>
      <c r="AI128" s="688" t="s">
        <v>641</v>
      </c>
      <c r="AJ128" s="511"/>
      <c r="AK128" s="568">
        <v>3304990000</v>
      </c>
      <c r="AM128" s="588" t="s">
        <v>645</v>
      </c>
      <c r="AN128" s="273" t="s">
        <v>646</v>
      </c>
      <c r="AO128" s="273" t="s">
        <v>647</v>
      </c>
      <c r="AP128" s="616" t="s">
        <v>651</v>
      </c>
      <c r="AQ128" s="637" t="s">
        <v>649</v>
      </c>
      <c r="AR128" s="621"/>
      <c r="AS128" s="618"/>
      <c r="AU128" s="511"/>
      <c r="AV128" s="511"/>
      <c r="AW128" s="511"/>
      <c r="AX128" s="512">
        <f>137*39*39/1000000000</f>
        <v>2.0837699999999999E-4</v>
      </c>
      <c r="AY128" s="507">
        <f t="shared" si="37"/>
        <v>0</v>
      </c>
      <c r="AZ128" s="511">
        <v>14</v>
      </c>
      <c r="BA128" s="511">
        <v>12</v>
      </c>
      <c r="BB128" s="511">
        <v>16</v>
      </c>
      <c r="BC128" s="517"/>
      <c r="BD128" s="189" t="s">
        <v>264</v>
      </c>
      <c r="BF128" s="445"/>
      <c r="BG128" s="442" t="s">
        <v>406</v>
      </c>
      <c r="BH128" s="442" t="s">
        <v>407</v>
      </c>
    </row>
    <row r="129" spans="1:73" ht="21.75" customHeight="1">
      <c r="A129" s="344" t="s">
        <v>652</v>
      </c>
      <c r="B129" s="108">
        <v>3513</v>
      </c>
      <c r="C129" s="251" t="s">
        <v>653</v>
      </c>
      <c r="D129" s="826"/>
      <c r="E129" s="110" t="s">
        <v>510</v>
      </c>
      <c r="F129" s="249"/>
      <c r="G129" s="190"/>
      <c r="H129" s="190"/>
      <c r="I129" s="190"/>
      <c r="J129" s="238">
        <v>340</v>
      </c>
      <c r="K129" s="104">
        <f t="shared" si="38"/>
        <v>0</v>
      </c>
      <c r="L129" s="267">
        <f t="shared" si="39"/>
        <v>357</v>
      </c>
      <c r="M129" s="104">
        <f t="shared" si="44"/>
        <v>0</v>
      </c>
      <c r="N129" s="267">
        <f t="shared" si="40"/>
        <v>374</v>
      </c>
      <c r="O129" s="104">
        <f t="shared" si="45"/>
        <v>0</v>
      </c>
      <c r="P129" s="267">
        <f t="shared" si="41"/>
        <v>391</v>
      </c>
      <c r="Q129" s="104">
        <f t="shared" si="46"/>
        <v>0</v>
      </c>
      <c r="R129" s="267">
        <f t="shared" si="42"/>
        <v>425</v>
      </c>
      <c r="S129" s="104">
        <f t="shared" si="47"/>
        <v>0</v>
      </c>
      <c r="T129" s="105">
        <v>38.4</v>
      </c>
      <c r="U129" s="105">
        <f t="shared" si="43"/>
        <v>0</v>
      </c>
      <c r="V129" s="106"/>
      <c r="W129" s="301">
        <v>645</v>
      </c>
      <c r="Y129" s="567">
        <v>12</v>
      </c>
      <c r="Z129" s="478" t="s">
        <v>356</v>
      </c>
      <c r="AA129" s="775" t="s">
        <v>654</v>
      </c>
      <c r="AB129" s="537">
        <v>43704</v>
      </c>
      <c r="AC129" s="537">
        <v>45530</v>
      </c>
      <c r="AD129" s="719" t="s">
        <v>375</v>
      </c>
      <c r="AE129" s="758" t="s">
        <v>141</v>
      </c>
      <c r="AF129" s="697" t="s">
        <v>633</v>
      </c>
      <c r="AG129" s="697" t="s">
        <v>644</v>
      </c>
      <c r="AH129" s="547" t="s">
        <v>165</v>
      </c>
      <c r="AI129" s="688" t="s">
        <v>361</v>
      </c>
      <c r="AJ129" s="516"/>
      <c r="AK129" s="568">
        <v>3304990000</v>
      </c>
      <c r="AM129" s="588" t="s">
        <v>655</v>
      </c>
      <c r="AN129" s="273" t="s">
        <v>656</v>
      </c>
      <c r="AO129" s="273" t="s">
        <v>657</v>
      </c>
      <c r="AP129" s="616" t="s">
        <v>658</v>
      </c>
      <c r="AQ129" s="637" t="s">
        <v>659</v>
      </c>
      <c r="AR129" s="621"/>
      <c r="AS129" s="618"/>
      <c r="AU129" s="511">
        <v>12</v>
      </c>
      <c r="AV129" s="511" t="s">
        <v>366</v>
      </c>
      <c r="AW129" s="514">
        <f>F129/AU129</f>
        <v>0</v>
      </c>
      <c r="AX129" s="512">
        <f>98*63*32/1000000000*1.05</f>
        <v>2.0744639999999999E-4</v>
      </c>
      <c r="AY129" s="507">
        <f t="shared" si="37"/>
        <v>0</v>
      </c>
      <c r="AZ129" s="511">
        <v>0.2</v>
      </c>
      <c r="BA129" s="511">
        <v>0.14000000000000001</v>
      </c>
      <c r="BB129" s="511">
        <v>0.1</v>
      </c>
      <c r="BC129" s="515">
        <f>BB129*BA129*AZ129*AW129</f>
        <v>0</v>
      </c>
      <c r="BD129" s="189" t="s">
        <v>660</v>
      </c>
      <c r="BF129" s="445"/>
      <c r="BG129" s="442" t="s">
        <v>406</v>
      </c>
      <c r="BH129" s="442" t="s">
        <v>407</v>
      </c>
    </row>
    <row r="130" spans="1:73" ht="23.25" hidden="1" customHeight="1">
      <c r="A130" s="116">
        <v>4627101820250</v>
      </c>
      <c r="B130" s="100">
        <v>1494</v>
      </c>
      <c r="C130" s="251"/>
      <c r="D130" s="826"/>
      <c r="E130" s="110" t="s">
        <v>252</v>
      </c>
      <c r="F130" s="249"/>
      <c r="G130" s="190"/>
      <c r="H130" s="190"/>
      <c r="I130" s="190"/>
      <c r="J130" s="238">
        <v>395</v>
      </c>
      <c r="K130" s="104">
        <f t="shared" si="38"/>
        <v>0</v>
      </c>
      <c r="L130" s="267">
        <f t="shared" si="39"/>
        <v>414.75</v>
      </c>
      <c r="M130" s="104">
        <f t="shared" si="44"/>
        <v>0</v>
      </c>
      <c r="N130" s="267">
        <f t="shared" si="40"/>
        <v>434.5</v>
      </c>
      <c r="O130" s="104">
        <f t="shared" si="45"/>
        <v>0</v>
      </c>
      <c r="P130" s="267">
        <f t="shared" si="41"/>
        <v>454.25</v>
      </c>
      <c r="Q130" s="104">
        <f t="shared" si="46"/>
        <v>0</v>
      </c>
      <c r="R130" s="267">
        <f t="shared" si="42"/>
        <v>493.75</v>
      </c>
      <c r="S130" s="104">
        <f t="shared" si="47"/>
        <v>0</v>
      </c>
      <c r="T130" s="105">
        <v>115</v>
      </c>
      <c r="U130" s="105">
        <f t="shared" si="43"/>
        <v>0</v>
      </c>
      <c r="V130" s="106"/>
      <c r="W130" s="301">
        <v>750</v>
      </c>
      <c r="Y130" s="567">
        <v>9</v>
      </c>
      <c r="Z130" s="189">
        <v>3</v>
      </c>
      <c r="AA130" s="541" t="s">
        <v>374</v>
      </c>
      <c r="AB130" s="537">
        <v>43704</v>
      </c>
      <c r="AC130" s="537">
        <v>45530</v>
      </c>
      <c r="AD130" s="719" t="s">
        <v>375</v>
      </c>
      <c r="AE130" s="758" t="s">
        <v>141</v>
      </c>
      <c r="AF130" s="697" t="s">
        <v>661</v>
      </c>
      <c r="AG130" s="697" t="s">
        <v>644</v>
      </c>
      <c r="AH130" s="547" t="s">
        <v>662</v>
      </c>
      <c r="AI130" s="689" t="s">
        <v>663</v>
      </c>
      <c r="AJ130" s="511"/>
      <c r="AK130" s="568">
        <v>3304990000</v>
      </c>
      <c r="AM130" s="610" t="s">
        <v>664</v>
      </c>
      <c r="AN130" s="611" t="s">
        <v>665</v>
      </c>
      <c r="AO130" s="611" t="s">
        <v>666</v>
      </c>
      <c r="AP130" s="616" t="s">
        <v>667</v>
      </c>
      <c r="AQ130" s="637" t="s">
        <v>668</v>
      </c>
      <c r="AR130" s="621"/>
      <c r="AS130" s="618"/>
      <c r="AU130" s="511"/>
      <c r="AV130" s="511"/>
      <c r="AW130" s="511"/>
      <c r="AX130" s="512">
        <f>66*66*47/1000000000</f>
        <v>2.04732E-4</v>
      </c>
      <c r="AY130" s="507">
        <f t="shared" si="37"/>
        <v>0</v>
      </c>
      <c r="AZ130" s="511">
        <v>10</v>
      </c>
      <c r="BA130" s="511">
        <v>14</v>
      </c>
      <c r="BB130" s="511">
        <v>20</v>
      </c>
      <c r="BC130" s="517"/>
      <c r="BD130" s="189" t="s">
        <v>315</v>
      </c>
      <c r="BF130" s="445"/>
      <c r="BG130" s="442"/>
      <c r="BH130" s="442"/>
    </row>
    <row r="131" spans="1:73" ht="23.25" customHeight="1">
      <c r="A131" s="116">
        <v>4627101820212</v>
      </c>
      <c r="B131" s="108">
        <v>1493</v>
      </c>
      <c r="C131" s="251" t="s">
        <v>669</v>
      </c>
      <c r="D131" s="826"/>
      <c r="E131" s="110" t="s">
        <v>287</v>
      </c>
      <c r="F131" s="249"/>
      <c r="G131" s="190"/>
      <c r="H131" s="190"/>
      <c r="I131" s="190"/>
      <c r="J131" s="238">
        <v>310</v>
      </c>
      <c r="K131" s="104">
        <f t="shared" si="38"/>
        <v>0</v>
      </c>
      <c r="L131" s="267">
        <f t="shared" si="39"/>
        <v>325.5</v>
      </c>
      <c r="M131" s="104">
        <f t="shared" si="44"/>
        <v>0</v>
      </c>
      <c r="N131" s="267">
        <f t="shared" si="40"/>
        <v>341</v>
      </c>
      <c r="O131" s="104">
        <f t="shared" si="45"/>
        <v>0</v>
      </c>
      <c r="P131" s="267">
        <f t="shared" si="41"/>
        <v>356.5</v>
      </c>
      <c r="Q131" s="104">
        <f t="shared" si="46"/>
        <v>0</v>
      </c>
      <c r="R131" s="267">
        <f t="shared" si="42"/>
        <v>387.5</v>
      </c>
      <c r="S131" s="104">
        <f t="shared" si="47"/>
        <v>0</v>
      </c>
      <c r="T131" s="105">
        <v>180</v>
      </c>
      <c r="U131" s="105">
        <f t="shared" si="43"/>
        <v>0</v>
      </c>
      <c r="V131" s="106"/>
      <c r="W131" s="301">
        <v>585</v>
      </c>
      <c r="Y131" s="567">
        <v>12</v>
      </c>
      <c r="Z131" s="189">
        <v>3</v>
      </c>
      <c r="AA131" s="541" t="s">
        <v>374</v>
      </c>
      <c r="AB131" s="537">
        <v>43704</v>
      </c>
      <c r="AC131" s="537">
        <v>45530</v>
      </c>
      <c r="AD131" s="718" t="s">
        <v>375</v>
      </c>
      <c r="AE131" s="758" t="s">
        <v>141</v>
      </c>
      <c r="AF131" s="695" t="s">
        <v>633</v>
      </c>
      <c r="AG131" s="695" t="s">
        <v>644</v>
      </c>
      <c r="AH131" s="547" t="s">
        <v>346</v>
      </c>
      <c r="AI131" s="688" t="s">
        <v>670</v>
      </c>
      <c r="AJ131" s="511"/>
      <c r="AK131" s="568">
        <v>3304990000</v>
      </c>
      <c r="AM131" s="588" t="s">
        <v>671</v>
      </c>
      <c r="AN131" s="273" t="s">
        <v>672</v>
      </c>
      <c r="AO131" s="273" t="s">
        <v>673</v>
      </c>
      <c r="AP131" s="616" t="s">
        <v>674</v>
      </c>
      <c r="AQ131" s="637" t="s">
        <v>675</v>
      </c>
      <c r="AR131" s="621"/>
      <c r="AS131" s="618"/>
      <c r="AU131" s="511"/>
      <c r="AV131" s="511"/>
      <c r="AW131" s="511"/>
      <c r="AX131" s="512">
        <f>140*45*45/1000000000</f>
        <v>2.8350000000000001E-4</v>
      </c>
      <c r="AY131" s="507">
        <f t="shared" si="37"/>
        <v>0</v>
      </c>
      <c r="AZ131" s="511">
        <v>17</v>
      </c>
      <c r="BA131" s="511">
        <v>13</v>
      </c>
      <c r="BB131" s="511">
        <v>21</v>
      </c>
      <c r="BC131" s="517"/>
      <c r="BD131" s="189" t="s">
        <v>264</v>
      </c>
      <c r="BF131" s="445"/>
      <c r="BG131" s="442" t="s">
        <v>353</v>
      </c>
      <c r="BH131" s="442" t="s">
        <v>354</v>
      </c>
    </row>
    <row r="132" spans="1:73" ht="23.25" customHeight="1">
      <c r="A132" s="116">
        <v>4627101825965</v>
      </c>
      <c r="B132" s="108">
        <v>2347</v>
      </c>
      <c r="C132" s="251" t="s">
        <v>676</v>
      </c>
      <c r="D132" s="826"/>
      <c r="E132" s="110" t="s">
        <v>208</v>
      </c>
      <c r="F132" s="249"/>
      <c r="G132" s="190"/>
      <c r="H132" s="190"/>
      <c r="I132" s="190"/>
      <c r="J132" s="238">
        <v>145</v>
      </c>
      <c r="K132" s="104">
        <f t="shared" si="38"/>
        <v>0</v>
      </c>
      <c r="L132" s="267">
        <f t="shared" si="39"/>
        <v>152.25</v>
      </c>
      <c r="M132" s="104">
        <f t="shared" si="44"/>
        <v>0</v>
      </c>
      <c r="N132" s="267">
        <f t="shared" si="40"/>
        <v>159.5</v>
      </c>
      <c r="O132" s="104">
        <f t="shared" si="45"/>
        <v>0</v>
      </c>
      <c r="P132" s="267">
        <f t="shared" si="41"/>
        <v>166.75</v>
      </c>
      <c r="Q132" s="104">
        <f t="shared" si="46"/>
        <v>0</v>
      </c>
      <c r="R132" s="267">
        <f t="shared" si="42"/>
        <v>181.25</v>
      </c>
      <c r="S132" s="104">
        <f t="shared" si="47"/>
        <v>0</v>
      </c>
      <c r="T132" s="105">
        <v>35</v>
      </c>
      <c r="U132" s="105">
        <f t="shared" si="43"/>
        <v>0</v>
      </c>
      <c r="V132" s="106"/>
      <c r="W132" s="301">
        <v>275</v>
      </c>
      <c r="Y132" s="567">
        <v>12</v>
      </c>
      <c r="Z132" s="189">
        <v>3</v>
      </c>
      <c r="AA132" s="541" t="s">
        <v>374</v>
      </c>
      <c r="AB132" s="537">
        <v>43704</v>
      </c>
      <c r="AC132" s="537">
        <v>45530</v>
      </c>
      <c r="AD132" s="718" t="s">
        <v>375</v>
      </c>
      <c r="AE132" s="758" t="s">
        <v>141</v>
      </c>
      <c r="AF132" s="695" t="s">
        <v>633</v>
      </c>
      <c r="AG132" s="695" t="s">
        <v>644</v>
      </c>
      <c r="AH132" s="547" t="s">
        <v>677</v>
      </c>
      <c r="AI132" s="688" t="s">
        <v>394</v>
      </c>
      <c r="AJ132" s="189"/>
      <c r="AK132" s="568">
        <v>3304990000</v>
      </c>
      <c r="AM132" s="588" t="s">
        <v>671</v>
      </c>
      <c r="AN132" s="273" t="s">
        <v>672</v>
      </c>
      <c r="AO132" s="273" t="s">
        <v>673</v>
      </c>
      <c r="AP132" s="616" t="s">
        <v>678</v>
      </c>
      <c r="AQ132" s="637" t="s">
        <v>675</v>
      </c>
      <c r="AR132" s="621"/>
      <c r="AS132" s="618"/>
      <c r="AU132" s="189"/>
      <c r="AV132" s="189"/>
      <c r="AW132" s="189"/>
      <c r="AX132" s="512">
        <f>107*33*33/1000000000</f>
        <v>1.16523E-4</v>
      </c>
      <c r="AY132" s="507">
        <f t="shared" si="37"/>
        <v>0</v>
      </c>
      <c r="AZ132" s="189"/>
      <c r="BA132" s="189"/>
      <c r="BB132" s="189"/>
      <c r="BC132" s="517"/>
      <c r="BD132" s="189" t="s">
        <v>264</v>
      </c>
      <c r="BF132" s="499" t="s">
        <v>679</v>
      </c>
      <c r="BG132" s="442" t="s">
        <v>680</v>
      </c>
      <c r="BH132" s="442" t="s">
        <v>407</v>
      </c>
    </row>
    <row r="133" spans="1:73" ht="23.25" customHeight="1">
      <c r="A133" s="116">
        <v>4620748860276</v>
      </c>
      <c r="B133" s="108">
        <v>1495</v>
      </c>
      <c r="C133" s="251" t="s">
        <v>681</v>
      </c>
      <c r="D133" s="826"/>
      <c r="E133" s="110" t="s">
        <v>682</v>
      </c>
      <c r="F133" s="249"/>
      <c r="G133" s="190"/>
      <c r="H133" s="190"/>
      <c r="I133" s="190"/>
      <c r="J133" s="238">
        <v>115</v>
      </c>
      <c r="K133" s="104">
        <f t="shared" si="38"/>
        <v>0</v>
      </c>
      <c r="L133" s="267">
        <f t="shared" si="39"/>
        <v>120.75</v>
      </c>
      <c r="M133" s="104">
        <f t="shared" si="44"/>
        <v>0</v>
      </c>
      <c r="N133" s="267">
        <f t="shared" si="40"/>
        <v>126.5</v>
      </c>
      <c r="O133" s="104">
        <f t="shared" si="45"/>
        <v>0</v>
      </c>
      <c r="P133" s="267">
        <f t="shared" si="41"/>
        <v>132.25</v>
      </c>
      <c r="Q133" s="104">
        <f t="shared" si="46"/>
        <v>0</v>
      </c>
      <c r="R133" s="267">
        <f t="shared" si="42"/>
        <v>143.75</v>
      </c>
      <c r="S133" s="104">
        <f t="shared" si="47"/>
        <v>0</v>
      </c>
      <c r="T133" s="105">
        <v>95</v>
      </c>
      <c r="U133" s="105">
        <f t="shared" si="43"/>
        <v>0</v>
      </c>
      <c r="V133" s="106"/>
      <c r="W133" s="301">
        <v>220</v>
      </c>
      <c r="Y133" s="567">
        <v>12</v>
      </c>
      <c r="Z133" s="189">
        <v>3</v>
      </c>
      <c r="AA133" s="541" t="s">
        <v>123</v>
      </c>
      <c r="AB133" s="537">
        <v>44193</v>
      </c>
      <c r="AC133" s="537">
        <v>46018</v>
      </c>
      <c r="AD133" s="769" t="s">
        <v>124</v>
      </c>
      <c r="AE133" s="758" t="s">
        <v>67</v>
      </c>
      <c r="AF133" s="695"/>
      <c r="AG133" s="695"/>
      <c r="AH133" s="547" t="s">
        <v>683</v>
      </c>
      <c r="AI133" s="690"/>
      <c r="AJ133" s="189"/>
      <c r="AK133" s="568">
        <v>3401110001</v>
      </c>
      <c r="AM133" s="610" t="s">
        <v>684</v>
      </c>
      <c r="AN133" s="611" t="s">
        <v>685</v>
      </c>
      <c r="AO133" s="611" t="s">
        <v>686</v>
      </c>
      <c r="AP133" s="612" t="s">
        <v>687</v>
      </c>
      <c r="AQ133" s="637" t="s">
        <v>688</v>
      </c>
      <c r="AR133" s="619" t="s">
        <v>340</v>
      </c>
      <c r="AS133" s="615"/>
      <c r="AU133" s="189"/>
      <c r="AV133" s="189"/>
      <c r="AW133" s="189"/>
      <c r="AX133" s="512">
        <f>88*54*26/1000000000</f>
        <v>1.23552E-4</v>
      </c>
      <c r="AY133" s="507">
        <f t="shared" si="37"/>
        <v>0</v>
      </c>
      <c r="AZ133" s="189"/>
      <c r="BA133" s="189"/>
      <c r="BB133" s="189"/>
      <c r="BC133" s="517"/>
      <c r="BD133" s="189" t="s">
        <v>315</v>
      </c>
      <c r="BF133" s="445"/>
      <c r="BG133" s="442"/>
      <c r="BH133" s="442"/>
    </row>
    <row r="134" spans="1:73" ht="23.25" customHeight="1">
      <c r="A134" s="116">
        <v>4627101826894</v>
      </c>
      <c r="B134" s="108">
        <v>2557</v>
      </c>
      <c r="C134" s="251" t="s">
        <v>689</v>
      </c>
      <c r="D134" s="826"/>
      <c r="E134" s="110" t="s">
        <v>690</v>
      </c>
      <c r="F134" s="249"/>
      <c r="G134" s="190"/>
      <c r="H134" s="190"/>
      <c r="I134" s="190"/>
      <c r="J134" s="238">
        <v>290</v>
      </c>
      <c r="K134" s="104">
        <f t="shared" si="38"/>
        <v>0</v>
      </c>
      <c r="L134" s="267">
        <f t="shared" si="39"/>
        <v>304.5</v>
      </c>
      <c r="M134" s="104">
        <f>L134*F134</f>
        <v>0</v>
      </c>
      <c r="N134" s="267">
        <f t="shared" si="40"/>
        <v>319</v>
      </c>
      <c r="O134" s="104">
        <f>N134*F134</f>
        <v>0</v>
      </c>
      <c r="P134" s="267">
        <f t="shared" si="41"/>
        <v>333.5</v>
      </c>
      <c r="Q134" s="104">
        <f>P134*F134</f>
        <v>0</v>
      </c>
      <c r="R134" s="267">
        <f t="shared" si="42"/>
        <v>362.5</v>
      </c>
      <c r="S134" s="104">
        <f>R134*F134</f>
        <v>0</v>
      </c>
      <c r="T134" s="105">
        <v>81</v>
      </c>
      <c r="U134" s="105">
        <f t="shared" si="43"/>
        <v>0</v>
      </c>
      <c r="V134" s="106"/>
      <c r="W134" s="301">
        <v>550</v>
      </c>
      <c r="Y134" s="567">
        <v>12</v>
      </c>
      <c r="Z134" s="189">
        <v>3</v>
      </c>
      <c r="AA134" s="541" t="s">
        <v>691</v>
      </c>
      <c r="AB134" s="537">
        <v>45135</v>
      </c>
      <c r="AC134" s="537">
        <v>47691</v>
      </c>
      <c r="AD134" s="717" t="s">
        <v>692</v>
      </c>
      <c r="AE134" s="758" t="s">
        <v>141</v>
      </c>
      <c r="AF134" s="695" t="s">
        <v>633</v>
      </c>
      <c r="AG134" s="695" t="s">
        <v>693</v>
      </c>
      <c r="AH134" s="547" t="s">
        <v>577</v>
      </c>
      <c r="AI134" s="688" t="s">
        <v>694</v>
      </c>
      <c r="AJ134" s="189"/>
      <c r="AK134" s="568">
        <v>3304990000</v>
      </c>
      <c r="AM134" s="588" t="s">
        <v>695</v>
      </c>
      <c r="AN134" s="273" t="s">
        <v>696</v>
      </c>
      <c r="AO134" s="273" t="s">
        <v>697</v>
      </c>
      <c r="AP134" s="616" t="s">
        <v>698</v>
      </c>
      <c r="AQ134" s="637" t="s">
        <v>699</v>
      </c>
      <c r="AR134" s="621"/>
      <c r="AS134" s="618"/>
      <c r="AU134" s="189"/>
      <c r="AV134" s="189"/>
      <c r="AW134" s="189"/>
      <c r="AX134" s="512">
        <f>104*33*33/1000000000</f>
        <v>1.13256E-4</v>
      </c>
      <c r="AY134" s="507">
        <f t="shared" si="37"/>
        <v>0</v>
      </c>
      <c r="AZ134" s="189"/>
      <c r="BA134" s="189"/>
      <c r="BB134" s="189"/>
      <c r="BC134" s="517"/>
      <c r="BD134" s="189" t="s">
        <v>264</v>
      </c>
      <c r="BF134" s="499" t="s">
        <v>700</v>
      </c>
      <c r="BG134" s="442" t="s">
        <v>680</v>
      </c>
      <c r="BH134" s="442" t="s">
        <v>407</v>
      </c>
    </row>
    <row r="135" spans="1:73" ht="24.75" customHeight="1">
      <c r="A135" s="485" t="s">
        <v>156</v>
      </c>
      <c r="B135" s="333"/>
      <c r="C135" s="271" t="s">
        <v>701</v>
      </c>
      <c r="D135" s="827"/>
      <c r="E135" s="270"/>
      <c r="F135" s="491"/>
      <c r="G135" s="308"/>
      <c r="H135" s="308"/>
      <c r="I135" s="310"/>
      <c r="J135" s="311"/>
      <c r="K135" s="488">
        <f>K137+K138+K139+K140+K141+K142+K143+K144+K146+K147+K148+K136+K145</f>
        <v>0</v>
      </c>
      <c r="L135" s="489"/>
      <c r="M135" s="488">
        <f>M137+M138+M139+M140+M141+M142+M143+M144+M146+M147+M148+M136+M145</f>
        <v>0</v>
      </c>
      <c r="N135" s="489"/>
      <c r="O135" s="488">
        <f>O137+O138+O139+O140+O141+O142+O143+O144+O146+O147+O148+O136+O145</f>
        <v>0</v>
      </c>
      <c r="P135" s="489"/>
      <c r="Q135" s="488">
        <f>Q137+Q138+Q139+Q140+Q141+Q142+Q143+Q144+Q146+Q147+Q148+Q136+Q145</f>
        <v>0</v>
      </c>
      <c r="R135" s="489"/>
      <c r="S135" s="488">
        <f>S137+S138+S139+S140+S141+S142+S143+S144+S146+S147+S148+S136+S145</f>
        <v>0</v>
      </c>
      <c r="T135" s="313"/>
      <c r="U135" s="313">
        <f>U137+U138+U139+U140+U141+U142+U143+U144+U146+U147+U148+U136</f>
        <v>0</v>
      </c>
      <c r="V135" s="293"/>
      <c r="W135" s="293"/>
      <c r="Y135" s="562"/>
      <c r="Z135" s="293"/>
      <c r="AA135" s="772"/>
      <c r="AB135" s="543"/>
      <c r="AC135" s="543"/>
      <c r="AD135" s="716"/>
      <c r="AE135" s="716"/>
      <c r="AF135" s="701"/>
      <c r="AG135" s="701"/>
      <c r="AH135" s="546"/>
      <c r="AI135" s="675"/>
      <c r="AJ135" s="293"/>
      <c r="AK135" s="563"/>
      <c r="AL135" s="554"/>
      <c r="AM135" s="562"/>
      <c r="AN135" s="293"/>
      <c r="AO135" s="293"/>
      <c r="AP135" s="293"/>
      <c r="AQ135" s="293"/>
      <c r="AR135" s="293"/>
      <c r="AS135" s="563"/>
      <c r="AU135" s="293"/>
      <c r="AV135" s="293"/>
      <c r="AW135" s="293"/>
      <c r="AX135" s="293"/>
      <c r="AY135" s="293"/>
      <c r="AZ135" s="293"/>
      <c r="BA135" s="293"/>
      <c r="BB135" s="293"/>
      <c r="BC135" s="293"/>
      <c r="BD135" s="293"/>
      <c r="BF135" s="445"/>
    </row>
    <row r="136" spans="1:73" s="32" customFormat="1" ht="18.75" customHeight="1">
      <c r="A136" s="282" t="s">
        <v>702</v>
      </c>
      <c r="B136" s="100">
        <v>3437</v>
      </c>
      <c r="C136" s="251" t="s">
        <v>703</v>
      </c>
      <c r="D136" s="826"/>
      <c r="E136" s="110" t="s">
        <v>304</v>
      </c>
      <c r="F136" s="326"/>
      <c r="G136" s="276"/>
      <c r="H136" s="276"/>
      <c r="I136" s="317"/>
      <c r="J136" s="275">
        <v>345</v>
      </c>
      <c r="K136" s="318">
        <f>J136*F136</f>
        <v>0</v>
      </c>
      <c r="L136" s="275">
        <f>J136+J136*5%</f>
        <v>362.25</v>
      </c>
      <c r="M136" s="318">
        <f>L136*F136</f>
        <v>0</v>
      </c>
      <c r="N136" s="275">
        <f>J136+J136*10%</f>
        <v>379.5</v>
      </c>
      <c r="O136" s="318">
        <f>N136*F136</f>
        <v>0</v>
      </c>
      <c r="P136" s="275">
        <f>J136+J136*15%</f>
        <v>396.75</v>
      </c>
      <c r="Q136" s="318">
        <f>P136*F136</f>
        <v>0</v>
      </c>
      <c r="R136" s="275">
        <f>J136+J136*25%</f>
        <v>431.25</v>
      </c>
      <c r="S136" s="318">
        <f>R136*F136</f>
        <v>0</v>
      </c>
      <c r="T136" s="480">
        <v>165</v>
      </c>
      <c r="U136" s="105">
        <f t="shared" ref="U136" si="48">T136*F136</f>
        <v>0</v>
      </c>
      <c r="V136" s="328"/>
      <c r="W136" s="345">
        <v>655</v>
      </c>
      <c r="X136" s="285"/>
      <c r="Y136" s="570">
        <v>12</v>
      </c>
      <c r="Z136" s="168">
        <v>3</v>
      </c>
      <c r="AA136" s="541" t="s">
        <v>704</v>
      </c>
      <c r="AB136" s="537" t="s">
        <v>705</v>
      </c>
      <c r="AC136" s="537">
        <v>45824</v>
      </c>
      <c r="AD136" s="718" t="s">
        <v>615</v>
      </c>
      <c r="AE136" s="758" t="s">
        <v>141</v>
      </c>
      <c r="AF136" s="695" t="s">
        <v>322</v>
      </c>
      <c r="AG136" s="695" t="s">
        <v>706</v>
      </c>
      <c r="AH136" s="547" t="s">
        <v>616</v>
      </c>
      <c r="AI136" s="674" t="s">
        <v>707</v>
      </c>
      <c r="AJ136" s="120"/>
      <c r="AK136" s="571">
        <v>3304990000</v>
      </c>
      <c r="AL136" s="557"/>
      <c r="AM136" s="588" t="s">
        <v>708</v>
      </c>
      <c r="AN136" s="273" t="s">
        <v>709</v>
      </c>
      <c r="AO136" s="273" t="s">
        <v>710</v>
      </c>
      <c r="AP136" s="616" t="s">
        <v>711</v>
      </c>
      <c r="AQ136" s="613" t="s">
        <v>712</v>
      </c>
      <c r="AR136" s="621"/>
      <c r="AS136" s="618"/>
      <c r="AT136" s="4"/>
      <c r="AU136" s="120"/>
      <c r="AV136" s="120"/>
      <c r="AW136" s="120"/>
      <c r="AX136" s="120"/>
      <c r="AY136" s="507">
        <f t="shared" ref="AY136:AY148" si="49">AX136*F136</f>
        <v>0</v>
      </c>
      <c r="AZ136" s="120"/>
      <c r="BA136" s="120"/>
      <c r="BB136" s="120"/>
      <c r="BC136" s="517"/>
      <c r="BD136" s="120"/>
      <c r="BE136" s="4"/>
      <c r="BF136" s="518"/>
      <c r="BG136" s="4"/>
      <c r="BH136" s="4"/>
      <c r="BI136" s="4"/>
      <c r="BJ136" s="4"/>
      <c r="BK136" s="4"/>
      <c r="BL136" s="4"/>
      <c r="BM136" s="4"/>
      <c r="BN136" s="4"/>
      <c r="BO136" s="4"/>
      <c r="BP136" s="4"/>
      <c r="BQ136" s="4"/>
      <c r="BR136" s="4"/>
      <c r="BS136" s="4"/>
      <c r="BT136" s="4"/>
    </row>
    <row r="137" spans="1:73" ht="23.25" customHeight="1">
      <c r="A137" s="283">
        <v>4627101824036</v>
      </c>
      <c r="B137" s="100">
        <v>2278</v>
      </c>
      <c r="C137" s="251" t="s">
        <v>713</v>
      </c>
      <c r="D137" s="826"/>
      <c r="E137" s="110" t="s">
        <v>222</v>
      </c>
      <c r="F137" s="326"/>
      <c r="G137" s="111"/>
      <c r="H137" s="111"/>
      <c r="I137" s="239"/>
      <c r="J137" s="238">
        <v>280</v>
      </c>
      <c r="K137" s="104">
        <f>F137*J137</f>
        <v>0</v>
      </c>
      <c r="L137" s="339">
        <f t="shared" ref="L137:L148" si="50">J137+J137*5%</f>
        <v>294</v>
      </c>
      <c r="M137" s="104">
        <f>F137*L137</f>
        <v>0</v>
      </c>
      <c r="N137" s="339">
        <f t="shared" ref="N137:N148" si="51">J137+J137*10%</f>
        <v>308</v>
      </c>
      <c r="O137" s="104">
        <f>F137*N137</f>
        <v>0</v>
      </c>
      <c r="P137" s="339">
        <f t="shared" ref="P137:P148" si="52">J137+J137*15%</f>
        <v>322</v>
      </c>
      <c r="Q137" s="104">
        <f>F137*P137</f>
        <v>0</v>
      </c>
      <c r="R137" s="339">
        <f t="shared" ref="R137:R148" si="53">J137+J137*25%</f>
        <v>350</v>
      </c>
      <c r="S137" s="104">
        <f>R137*F137</f>
        <v>0</v>
      </c>
      <c r="T137" s="112">
        <v>39</v>
      </c>
      <c r="U137" s="112">
        <f>F137*T137</f>
        <v>0</v>
      </c>
      <c r="V137" s="327"/>
      <c r="W137" s="345">
        <v>530</v>
      </c>
      <c r="Y137" s="570">
        <v>12</v>
      </c>
      <c r="Z137" s="534" t="s">
        <v>356</v>
      </c>
      <c r="AA137" s="541" t="s">
        <v>714</v>
      </c>
      <c r="AB137" s="537">
        <v>44907</v>
      </c>
      <c r="AC137" s="537">
        <v>47460</v>
      </c>
      <c r="AD137" s="718" t="s">
        <v>358</v>
      </c>
      <c r="AE137" s="758" t="s">
        <v>67</v>
      </c>
      <c r="AF137" s="695" t="s">
        <v>226</v>
      </c>
      <c r="AG137" s="695" t="s">
        <v>360</v>
      </c>
      <c r="AH137" s="547" t="s">
        <v>165</v>
      </c>
      <c r="AI137" s="677" t="s">
        <v>361</v>
      </c>
      <c r="AJ137" s="516"/>
      <c r="AK137" s="568">
        <v>3304990000</v>
      </c>
      <c r="AM137" s="588" t="s">
        <v>715</v>
      </c>
      <c r="AN137" s="273" t="s">
        <v>716</v>
      </c>
      <c r="AO137" s="273" t="s">
        <v>717</v>
      </c>
      <c r="AP137" s="616" t="s">
        <v>718</v>
      </c>
      <c r="AQ137" s="617" t="s">
        <v>719</v>
      </c>
      <c r="AR137" s="621"/>
      <c r="AS137" s="618"/>
      <c r="AU137" s="511">
        <v>12</v>
      </c>
      <c r="AV137" s="511" t="s">
        <v>366</v>
      </c>
      <c r="AW137" s="514">
        <f>F137/AU137</f>
        <v>0</v>
      </c>
      <c r="AX137" s="512">
        <f>98*63*32/1000000000*1.05</f>
        <v>2.0744639999999999E-4</v>
      </c>
      <c r="AY137" s="507">
        <f t="shared" si="49"/>
        <v>0</v>
      </c>
      <c r="AZ137" s="511">
        <v>0.2</v>
      </c>
      <c r="BA137" s="511">
        <v>0.14000000000000001</v>
      </c>
      <c r="BB137" s="511">
        <v>0.1</v>
      </c>
      <c r="BC137" s="515">
        <f>BB137*BA137*AZ137*AW137</f>
        <v>0</v>
      </c>
      <c r="BD137" s="189" t="s">
        <v>660</v>
      </c>
      <c r="BF137" s="445"/>
      <c r="BG137" s="442" t="s">
        <v>516</v>
      </c>
      <c r="BH137" s="442" t="s">
        <v>517</v>
      </c>
    </row>
    <row r="138" spans="1:73" s="41" customFormat="1" ht="23.25" customHeight="1">
      <c r="A138" s="283">
        <v>4627101822193</v>
      </c>
      <c r="B138" s="100">
        <v>1497</v>
      </c>
      <c r="C138" s="251" t="s">
        <v>720</v>
      </c>
      <c r="D138" s="826"/>
      <c r="E138" s="110" t="s">
        <v>287</v>
      </c>
      <c r="F138" s="249"/>
      <c r="G138" s="111"/>
      <c r="H138" s="190"/>
      <c r="I138" s="238"/>
      <c r="J138" s="104">
        <v>190</v>
      </c>
      <c r="K138" s="104">
        <f t="shared" ref="K138:K148" si="54">J138*F138</f>
        <v>0</v>
      </c>
      <c r="L138" s="339">
        <f t="shared" si="50"/>
        <v>199.5</v>
      </c>
      <c r="M138" s="104">
        <f>F138*L138</f>
        <v>0</v>
      </c>
      <c r="N138" s="339">
        <f t="shared" si="51"/>
        <v>209</v>
      </c>
      <c r="O138" s="104">
        <f>F138*N138</f>
        <v>0</v>
      </c>
      <c r="P138" s="339">
        <f t="shared" si="52"/>
        <v>218.5</v>
      </c>
      <c r="Q138" s="104">
        <f>F138*P138</f>
        <v>0</v>
      </c>
      <c r="R138" s="339">
        <f t="shared" si="53"/>
        <v>237.5</v>
      </c>
      <c r="S138" s="104">
        <f>F138*R138</f>
        <v>0</v>
      </c>
      <c r="T138" s="112">
        <v>125</v>
      </c>
      <c r="U138" s="105">
        <f t="shared" ref="U138:U144" si="55">T138*F138</f>
        <v>0</v>
      </c>
      <c r="V138" s="343"/>
      <c r="W138" s="345">
        <v>360</v>
      </c>
      <c r="X138" s="585"/>
      <c r="Y138" s="570">
        <v>12</v>
      </c>
      <c r="Z138" s="168">
        <v>3</v>
      </c>
      <c r="AA138" s="541" t="s">
        <v>624</v>
      </c>
      <c r="AB138" s="537">
        <v>44727</v>
      </c>
      <c r="AC138" s="537">
        <v>47278</v>
      </c>
      <c r="AD138" s="718" t="s">
        <v>625</v>
      </c>
      <c r="AE138" s="758" t="s">
        <v>67</v>
      </c>
      <c r="AF138" s="695" t="s">
        <v>322</v>
      </c>
      <c r="AG138" s="695" t="s">
        <v>291</v>
      </c>
      <c r="AH138" s="547" t="s">
        <v>721</v>
      </c>
      <c r="AI138" s="674" t="s">
        <v>722</v>
      </c>
      <c r="AJ138" s="511"/>
      <c r="AK138" s="568">
        <v>3401300000</v>
      </c>
      <c r="AL138" s="551"/>
      <c r="AM138" s="588" t="s">
        <v>723</v>
      </c>
      <c r="AN138" s="273" t="s">
        <v>724</v>
      </c>
      <c r="AO138" s="273" t="s">
        <v>725</v>
      </c>
      <c r="AP138" s="612" t="s">
        <v>726</v>
      </c>
      <c r="AQ138" s="617" t="s">
        <v>727</v>
      </c>
      <c r="AR138" s="619" t="s">
        <v>340</v>
      </c>
      <c r="AS138" s="615"/>
      <c r="AU138" s="189">
        <v>12</v>
      </c>
      <c r="AV138" s="189" t="s">
        <v>410</v>
      </c>
      <c r="AW138" s="514">
        <f>F138/AU138</f>
        <v>0</v>
      </c>
      <c r="AX138" s="512">
        <f>153*38*38/1000000000*1.05</f>
        <v>2.319786E-4</v>
      </c>
      <c r="AY138" s="507">
        <f t="shared" si="49"/>
        <v>0</v>
      </c>
      <c r="AZ138" s="189">
        <v>0.21</v>
      </c>
      <c r="BA138" s="189">
        <v>0.13</v>
      </c>
      <c r="BB138" s="189">
        <v>0.18</v>
      </c>
      <c r="BC138" s="515">
        <f>BB138*BA138*AZ138*AW138</f>
        <v>0</v>
      </c>
      <c r="BD138" s="189" t="s">
        <v>264</v>
      </c>
      <c r="BF138" s="443"/>
      <c r="BG138" s="442"/>
      <c r="BH138" s="442"/>
      <c r="BO138" s="519">
        <v>18</v>
      </c>
      <c r="BP138" s="41" t="s">
        <v>728</v>
      </c>
      <c r="BQ138" s="520">
        <f>F138/BO138</f>
        <v>0</v>
      </c>
      <c r="BR138" s="41">
        <v>0.2</v>
      </c>
      <c r="BS138" s="41">
        <v>0.14000000000000001</v>
      </c>
      <c r="BT138" s="41">
        <v>0.15</v>
      </c>
      <c r="BU138" s="444">
        <f>BR138*BS138*BT138*BQ138</f>
        <v>0</v>
      </c>
    </row>
    <row r="139" spans="1:73" s="41" customFormat="1" ht="22.5" customHeight="1">
      <c r="A139" s="283">
        <v>4627101829796</v>
      </c>
      <c r="B139" s="100">
        <v>3269</v>
      </c>
      <c r="C139" s="251" t="s">
        <v>729</v>
      </c>
      <c r="D139" s="826"/>
      <c r="E139" s="110" t="s">
        <v>208</v>
      </c>
      <c r="F139" s="249"/>
      <c r="G139" s="111"/>
      <c r="H139" s="190"/>
      <c r="I139" s="238"/>
      <c r="J139" s="104">
        <v>280</v>
      </c>
      <c r="K139" s="104">
        <f t="shared" si="54"/>
        <v>0</v>
      </c>
      <c r="L139" s="339">
        <f t="shared" si="50"/>
        <v>294</v>
      </c>
      <c r="M139" s="104">
        <f>L139*F139</f>
        <v>0</v>
      </c>
      <c r="N139" s="339">
        <f t="shared" si="51"/>
        <v>308</v>
      </c>
      <c r="O139" s="104">
        <f>N139*F139</f>
        <v>0</v>
      </c>
      <c r="P139" s="339">
        <f t="shared" si="52"/>
        <v>322</v>
      </c>
      <c r="Q139" s="104">
        <f>P139*F139</f>
        <v>0</v>
      </c>
      <c r="R139" s="339">
        <f t="shared" si="53"/>
        <v>350</v>
      </c>
      <c r="S139" s="104">
        <f>R139*F139</f>
        <v>0</v>
      </c>
      <c r="T139" s="112">
        <v>45</v>
      </c>
      <c r="U139" s="105">
        <f t="shared" si="55"/>
        <v>0</v>
      </c>
      <c r="V139" s="343"/>
      <c r="W139" s="345">
        <v>530</v>
      </c>
      <c r="X139" s="585"/>
      <c r="Y139" s="570">
        <v>12</v>
      </c>
      <c r="Z139" s="168">
        <v>3</v>
      </c>
      <c r="AA139" s="541" t="s">
        <v>511</v>
      </c>
      <c r="AB139" s="537">
        <v>44726</v>
      </c>
      <c r="AC139" s="537">
        <v>47277</v>
      </c>
      <c r="AD139" s="718" t="s">
        <v>512</v>
      </c>
      <c r="AE139" s="758" t="s">
        <v>67</v>
      </c>
      <c r="AF139" s="695" t="s">
        <v>322</v>
      </c>
      <c r="AG139" s="695" t="s">
        <v>360</v>
      </c>
      <c r="AH139" s="547" t="s">
        <v>393</v>
      </c>
      <c r="AI139" s="677" t="s">
        <v>730</v>
      </c>
      <c r="AJ139" s="511"/>
      <c r="AK139" s="568">
        <v>3304990000</v>
      </c>
      <c r="AL139" s="551"/>
      <c r="AM139" s="588" t="s">
        <v>731</v>
      </c>
      <c r="AN139" s="273" t="s">
        <v>732</v>
      </c>
      <c r="AO139" s="273" t="s">
        <v>733</v>
      </c>
      <c r="AP139" s="612" t="s">
        <v>734</v>
      </c>
      <c r="AQ139" s="637" t="s">
        <v>735</v>
      </c>
      <c r="AR139" s="619"/>
      <c r="AS139" s="615"/>
      <c r="AU139" s="511"/>
      <c r="AV139" s="511"/>
      <c r="AW139" s="511"/>
      <c r="AX139" s="512"/>
      <c r="AY139" s="507">
        <f t="shared" si="49"/>
        <v>0</v>
      </c>
      <c r="AZ139" s="511"/>
      <c r="BA139" s="511"/>
      <c r="BB139" s="511"/>
      <c r="BC139" s="168"/>
      <c r="BD139" s="189"/>
      <c r="BF139" s="443"/>
      <c r="BG139" s="442"/>
      <c r="BH139" s="442"/>
    </row>
    <row r="140" spans="1:73" ht="23.25" customHeight="1">
      <c r="A140" s="116">
        <v>4620748860979</v>
      </c>
      <c r="B140" s="100">
        <v>1498</v>
      </c>
      <c r="C140" s="251" t="s">
        <v>736</v>
      </c>
      <c r="D140" s="826"/>
      <c r="E140" s="110" t="s">
        <v>401</v>
      </c>
      <c r="F140" s="248"/>
      <c r="G140" s="190"/>
      <c r="H140" s="190"/>
      <c r="I140" s="238"/>
      <c r="J140" s="238">
        <v>380</v>
      </c>
      <c r="K140" s="104">
        <f t="shared" si="54"/>
        <v>0</v>
      </c>
      <c r="L140" s="339">
        <f t="shared" si="50"/>
        <v>399</v>
      </c>
      <c r="M140" s="104">
        <f>F140*L140</f>
        <v>0</v>
      </c>
      <c r="N140" s="339">
        <f t="shared" si="51"/>
        <v>418</v>
      </c>
      <c r="O140" s="104">
        <f>F140*N140</f>
        <v>0</v>
      </c>
      <c r="P140" s="339">
        <f t="shared" si="52"/>
        <v>437</v>
      </c>
      <c r="Q140" s="104">
        <f>F140*P140</f>
        <v>0</v>
      </c>
      <c r="R140" s="339">
        <f t="shared" si="53"/>
        <v>475</v>
      </c>
      <c r="S140" s="104">
        <f>F140*R140</f>
        <v>0</v>
      </c>
      <c r="T140" s="105">
        <v>122</v>
      </c>
      <c r="U140" s="105">
        <f t="shared" si="55"/>
        <v>0</v>
      </c>
      <c r="V140" s="106"/>
      <c r="W140" s="345">
        <v>720</v>
      </c>
      <c r="Y140" s="570">
        <v>12</v>
      </c>
      <c r="Z140" s="168">
        <v>3</v>
      </c>
      <c r="AA140" s="541" t="s">
        <v>511</v>
      </c>
      <c r="AB140" s="537">
        <v>44726</v>
      </c>
      <c r="AC140" s="537">
        <v>47277</v>
      </c>
      <c r="AD140" s="718" t="s">
        <v>512</v>
      </c>
      <c r="AE140" s="758" t="s">
        <v>67</v>
      </c>
      <c r="AF140" s="695" t="s">
        <v>322</v>
      </c>
      <c r="AG140" s="695" t="s">
        <v>360</v>
      </c>
      <c r="AH140" s="547" t="s">
        <v>402</v>
      </c>
      <c r="AI140" s="677" t="s">
        <v>737</v>
      </c>
      <c r="AJ140" s="511"/>
      <c r="AK140" s="568">
        <v>3304990000</v>
      </c>
      <c r="AM140" s="588" t="s">
        <v>731</v>
      </c>
      <c r="AN140" s="273" t="s">
        <v>732</v>
      </c>
      <c r="AO140" s="273" t="s">
        <v>733</v>
      </c>
      <c r="AP140" s="612" t="s">
        <v>738</v>
      </c>
      <c r="AQ140" s="637" t="s">
        <v>735</v>
      </c>
      <c r="AR140" s="619" t="s">
        <v>340</v>
      </c>
      <c r="AS140" s="615"/>
      <c r="AU140" s="511"/>
      <c r="AV140" s="511"/>
      <c r="AW140" s="511"/>
      <c r="AX140" s="521">
        <f>120*35*35/1000000000</f>
        <v>1.47E-4</v>
      </c>
      <c r="AY140" s="507">
        <f t="shared" si="49"/>
        <v>0</v>
      </c>
      <c r="AZ140" s="511">
        <v>14</v>
      </c>
      <c r="BA140" s="511">
        <v>12</v>
      </c>
      <c r="BB140" s="511">
        <v>16</v>
      </c>
      <c r="BC140" s="517"/>
      <c r="BD140" s="189" t="s">
        <v>264</v>
      </c>
      <c r="BF140" s="499" t="s">
        <v>739</v>
      </c>
      <c r="BG140" s="442" t="s">
        <v>740</v>
      </c>
      <c r="BH140" s="442" t="s">
        <v>407</v>
      </c>
    </row>
    <row r="141" spans="1:73" ht="23.25" customHeight="1">
      <c r="A141" s="116">
        <v>4627101829802</v>
      </c>
      <c r="B141" s="100">
        <v>3270</v>
      </c>
      <c r="C141" s="251" t="s">
        <v>741</v>
      </c>
      <c r="D141" s="826"/>
      <c r="E141" s="110" t="s">
        <v>208</v>
      </c>
      <c r="F141" s="248"/>
      <c r="G141" s="190"/>
      <c r="H141" s="190"/>
      <c r="I141" s="238"/>
      <c r="J141" s="238">
        <v>295</v>
      </c>
      <c r="K141" s="104">
        <f t="shared" si="54"/>
        <v>0</v>
      </c>
      <c r="L141" s="339">
        <f t="shared" si="50"/>
        <v>309.75</v>
      </c>
      <c r="M141" s="104">
        <f>L141*F141</f>
        <v>0</v>
      </c>
      <c r="N141" s="339">
        <f t="shared" si="51"/>
        <v>324.5</v>
      </c>
      <c r="O141" s="104">
        <f>N141*F141</f>
        <v>0</v>
      </c>
      <c r="P141" s="339">
        <f t="shared" si="52"/>
        <v>339.25</v>
      </c>
      <c r="Q141" s="104">
        <f>P141*F141</f>
        <v>0</v>
      </c>
      <c r="R141" s="339">
        <f t="shared" si="53"/>
        <v>368.75</v>
      </c>
      <c r="S141" s="104">
        <f>R141*F141</f>
        <v>0</v>
      </c>
      <c r="T141" s="105">
        <v>45</v>
      </c>
      <c r="U141" s="105">
        <f t="shared" si="55"/>
        <v>0</v>
      </c>
      <c r="V141" s="106"/>
      <c r="W141" s="345">
        <v>560</v>
      </c>
      <c r="Y141" s="570">
        <v>12</v>
      </c>
      <c r="Z141" s="168">
        <v>3</v>
      </c>
      <c r="AA141" s="541" t="s">
        <v>511</v>
      </c>
      <c r="AB141" s="537">
        <v>44726</v>
      </c>
      <c r="AC141" s="537">
        <v>47277</v>
      </c>
      <c r="AD141" s="718" t="s">
        <v>512</v>
      </c>
      <c r="AE141" s="758" t="s">
        <v>67</v>
      </c>
      <c r="AF141" s="695" t="s">
        <v>322</v>
      </c>
      <c r="AG141" s="695" t="s">
        <v>644</v>
      </c>
      <c r="AH141" s="547" t="s">
        <v>393</v>
      </c>
      <c r="AI141" s="677" t="s">
        <v>519</v>
      </c>
      <c r="AJ141" s="511"/>
      <c r="AK141" s="568">
        <v>3304990000</v>
      </c>
      <c r="AM141" s="588" t="s">
        <v>742</v>
      </c>
      <c r="AN141" s="273" t="s">
        <v>743</v>
      </c>
      <c r="AO141" s="273" t="s">
        <v>744</v>
      </c>
      <c r="AP141" s="612" t="s">
        <v>745</v>
      </c>
      <c r="AQ141" s="637" t="s">
        <v>746</v>
      </c>
      <c r="AR141" s="619"/>
      <c r="AS141" s="615"/>
      <c r="AU141" s="511"/>
      <c r="AV141" s="511"/>
      <c r="AW141" s="511"/>
      <c r="AX141" s="521"/>
      <c r="AY141" s="507">
        <f t="shared" si="49"/>
        <v>0</v>
      </c>
      <c r="AZ141" s="511"/>
      <c r="BA141" s="511"/>
      <c r="BB141" s="511"/>
      <c r="BC141" s="517"/>
      <c r="BD141" s="189"/>
      <c r="BG141" s="442"/>
      <c r="BH141" s="442"/>
    </row>
    <row r="142" spans="1:73" ht="25.5" customHeight="1">
      <c r="A142" s="116">
        <v>4620748860986</v>
      </c>
      <c r="B142" s="100">
        <v>1499</v>
      </c>
      <c r="C142" s="251" t="s">
        <v>747</v>
      </c>
      <c r="D142" s="826"/>
      <c r="E142" s="110" t="s">
        <v>401</v>
      </c>
      <c r="F142" s="248"/>
      <c r="G142" s="190"/>
      <c r="H142" s="190"/>
      <c r="I142" s="238"/>
      <c r="J142" s="238">
        <v>380</v>
      </c>
      <c r="K142" s="104">
        <f t="shared" si="54"/>
        <v>0</v>
      </c>
      <c r="L142" s="339">
        <f t="shared" si="50"/>
        <v>399</v>
      </c>
      <c r="M142" s="104">
        <f t="shared" ref="M142:M147" si="56">F142*L142</f>
        <v>0</v>
      </c>
      <c r="N142" s="339">
        <f t="shared" si="51"/>
        <v>418</v>
      </c>
      <c r="O142" s="104">
        <f t="shared" ref="O142:O147" si="57">F142*N142</f>
        <v>0</v>
      </c>
      <c r="P142" s="339">
        <f t="shared" si="52"/>
        <v>437</v>
      </c>
      <c r="Q142" s="104">
        <f t="shared" ref="Q142:Q147" si="58">F142*P142</f>
        <v>0</v>
      </c>
      <c r="R142" s="339">
        <f t="shared" si="53"/>
        <v>475</v>
      </c>
      <c r="S142" s="104">
        <f t="shared" ref="S142:S147" si="59">F142*R142</f>
        <v>0</v>
      </c>
      <c r="T142" s="105">
        <v>122</v>
      </c>
      <c r="U142" s="105">
        <f t="shared" si="55"/>
        <v>0</v>
      </c>
      <c r="V142" s="106"/>
      <c r="W142" s="345">
        <v>720</v>
      </c>
      <c r="Y142" s="570">
        <v>12</v>
      </c>
      <c r="Z142" s="168">
        <v>3</v>
      </c>
      <c r="AA142" s="541" t="s">
        <v>511</v>
      </c>
      <c r="AB142" s="537">
        <v>44726</v>
      </c>
      <c r="AC142" s="537">
        <v>47277</v>
      </c>
      <c r="AD142" s="718" t="s">
        <v>512</v>
      </c>
      <c r="AE142" s="758" t="s">
        <v>67</v>
      </c>
      <c r="AF142" s="695" t="s">
        <v>322</v>
      </c>
      <c r="AG142" s="695" t="s">
        <v>644</v>
      </c>
      <c r="AH142" s="547" t="s">
        <v>402</v>
      </c>
      <c r="AI142" s="677" t="s">
        <v>737</v>
      </c>
      <c r="AJ142" s="511"/>
      <c r="AK142" s="568">
        <v>3304990000</v>
      </c>
      <c r="AM142" s="588" t="s">
        <v>742</v>
      </c>
      <c r="AN142" s="273" t="s">
        <v>743</v>
      </c>
      <c r="AO142" s="273" t="s">
        <v>744</v>
      </c>
      <c r="AP142" s="612" t="s">
        <v>748</v>
      </c>
      <c r="AQ142" s="637" t="s">
        <v>746</v>
      </c>
      <c r="AR142" s="619" t="s">
        <v>340</v>
      </c>
      <c r="AS142" s="615"/>
      <c r="AU142" s="511"/>
      <c r="AV142" s="511"/>
      <c r="AW142" s="511"/>
      <c r="AX142" s="521">
        <f>120*35*35/1000000000</f>
        <v>1.47E-4</v>
      </c>
      <c r="AY142" s="507">
        <f t="shared" si="49"/>
        <v>0</v>
      </c>
      <c r="AZ142" s="511">
        <v>14</v>
      </c>
      <c r="BA142" s="511">
        <v>12</v>
      </c>
      <c r="BB142" s="511">
        <v>16</v>
      </c>
      <c r="BC142" s="517"/>
      <c r="BD142" s="189" t="s">
        <v>264</v>
      </c>
      <c r="BF142" s="499" t="s">
        <v>739</v>
      </c>
      <c r="BG142" s="442" t="s">
        <v>740</v>
      </c>
      <c r="BH142" s="442" t="s">
        <v>407</v>
      </c>
    </row>
    <row r="143" spans="1:73" ht="20.25" customHeight="1">
      <c r="A143" s="116">
        <v>4620748862195</v>
      </c>
      <c r="B143" s="100">
        <v>1502</v>
      </c>
      <c r="C143" s="251" t="s">
        <v>749</v>
      </c>
      <c r="D143" s="826"/>
      <c r="E143" s="110" t="s">
        <v>750</v>
      </c>
      <c r="F143" s="248"/>
      <c r="G143" s="190"/>
      <c r="H143" s="190"/>
      <c r="I143" s="238"/>
      <c r="J143" s="238">
        <v>195</v>
      </c>
      <c r="K143" s="104">
        <f t="shared" si="54"/>
        <v>0</v>
      </c>
      <c r="L143" s="339">
        <f t="shared" si="50"/>
        <v>204.75</v>
      </c>
      <c r="M143" s="104">
        <f t="shared" si="56"/>
        <v>0</v>
      </c>
      <c r="N143" s="339">
        <f t="shared" si="51"/>
        <v>214.5</v>
      </c>
      <c r="O143" s="104">
        <f t="shared" si="57"/>
        <v>0</v>
      </c>
      <c r="P143" s="339">
        <f t="shared" si="52"/>
        <v>224.25</v>
      </c>
      <c r="Q143" s="104">
        <f t="shared" si="58"/>
        <v>0</v>
      </c>
      <c r="R143" s="339">
        <f t="shared" si="53"/>
        <v>243.75</v>
      </c>
      <c r="S143" s="104">
        <f t="shared" si="59"/>
        <v>0</v>
      </c>
      <c r="T143" s="105">
        <v>80</v>
      </c>
      <c r="U143" s="105">
        <f t="shared" si="55"/>
        <v>0</v>
      </c>
      <c r="V143" s="106"/>
      <c r="W143" s="345">
        <v>370</v>
      </c>
      <c r="Y143" s="570">
        <v>12</v>
      </c>
      <c r="Z143" s="168">
        <v>3</v>
      </c>
      <c r="AA143" s="777" t="s">
        <v>751</v>
      </c>
      <c r="AB143" s="539">
        <v>44060</v>
      </c>
      <c r="AC143" s="539">
        <v>45885</v>
      </c>
      <c r="AD143" s="715" t="s">
        <v>752</v>
      </c>
      <c r="AE143" s="758" t="s">
        <v>67</v>
      </c>
      <c r="AF143" s="696"/>
      <c r="AG143" s="696"/>
      <c r="AH143" s="547" t="s">
        <v>662</v>
      </c>
      <c r="AI143" s="676" t="s">
        <v>753</v>
      </c>
      <c r="AJ143" s="511"/>
      <c r="AK143" s="568">
        <v>3304990000</v>
      </c>
      <c r="AM143" s="588" t="s">
        <v>754</v>
      </c>
      <c r="AN143" s="273" t="s">
        <v>755</v>
      </c>
      <c r="AO143" s="273" t="s">
        <v>756</v>
      </c>
      <c r="AP143" s="612" t="s">
        <v>757</v>
      </c>
      <c r="AQ143" s="637" t="s">
        <v>758</v>
      </c>
      <c r="AR143" s="619"/>
      <c r="AS143" s="615"/>
      <c r="AU143" s="511"/>
      <c r="AV143" s="511"/>
      <c r="AW143" s="511"/>
      <c r="AX143" s="521" t="s">
        <v>759</v>
      </c>
      <c r="AY143" s="507" t="e">
        <f t="shared" si="49"/>
        <v>#VALUE!</v>
      </c>
      <c r="AZ143" s="511">
        <v>10</v>
      </c>
      <c r="BA143" s="511">
        <v>14</v>
      </c>
      <c r="BB143" s="511">
        <v>20</v>
      </c>
      <c r="BC143" s="517"/>
      <c r="BD143" s="189"/>
      <c r="BF143" s="445"/>
      <c r="BG143" s="442" t="s">
        <v>760</v>
      </c>
      <c r="BH143" s="442" t="s">
        <v>517</v>
      </c>
    </row>
    <row r="144" spans="1:73" ht="23.25" customHeight="1">
      <c r="A144" s="116">
        <v>4620748862225</v>
      </c>
      <c r="B144" s="100">
        <v>1503</v>
      </c>
      <c r="C144" s="251" t="s">
        <v>761</v>
      </c>
      <c r="D144" s="826"/>
      <c r="E144" s="110" t="s">
        <v>321</v>
      </c>
      <c r="F144" s="248"/>
      <c r="G144" s="190"/>
      <c r="H144" s="190"/>
      <c r="I144" s="238"/>
      <c r="J144" s="238">
        <v>245</v>
      </c>
      <c r="K144" s="104">
        <f t="shared" si="54"/>
        <v>0</v>
      </c>
      <c r="L144" s="339">
        <f t="shared" si="50"/>
        <v>257.25</v>
      </c>
      <c r="M144" s="104">
        <f t="shared" si="56"/>
        <v>0</v>
      </c>
      <c r="N144" s="339">
        <f t="shared" si="51"/>
        <v>269.5</v>
      </c>
      <c r="O144" s="104">
        <f t="shared" si="57"/>
        <v>0</v>
      </c>
      <c r="P144" s="339">
        <f t="shared" si="52"/>
        <v>281.75</v>
      </c>
      <c r="Q144" s="104">
        <f t="shared" si="58"/>
        <v>0</v>
      </c>
      <c r="R144" s="339">
        <f t="shared" si="53"/>
        <v>306.25</v>
      </c>
      <c r="S144" s="104">
        <f t="shared" si="59"/>
        <v>0</v>
      </c>
      <c r="T144" s="105">
        <v>210</v>
      </c>
      <c r="U144" s="105">
        <f t="shared" si="55"/>
        <v>0</v>
      </c>
      <c r="V144" s="106"/>
      <c r="W144" s="345">
        <v>465</v>
      </c>
      <c r="Y144" s="570">
        <v>12</v>
      </c>
      <c r="Z144" s="168">
        <v>3</v>
      </c>
      <c r="AA144" s="541" t="s">
        <v>305</v>
      </c>
      <c r="AB144" s="537">
        <v>44907</v>
      </c>
      <c r="AC144" s="537">
        <v>47463</v>
      </c>
      <c r="AD144" s="718" t="s">
        <v>306</v>
      </c>
      <c r="AE144" s="758" t="s">
        <v>141</v>
      </c>
      <c r="AF144" s="695" t="s">
        <v>226</v>
      </c>
      <c r="AG144" s="695" t="s">
        <v>360</v>
      </c>
      <c r="AH144" s="548" t="s">
        <v>762</v>
      </c>
      <c r="AI144" s="674" t="s">
        <v>763</v>
      </c>
      <c r="AJ144" s="511"/>
      <c r="AK144" s="568">
        <v>3401300000</v>
      </c>
      <c r="AM144" s="588" t="s">
        <v>764</v>
      </c>
      <c r="AN144" s="273" t="s">
        <v>765</v>
      </c>
      <c r="AO144" s="273" t="s">
        <v>766</v>
      </c>
      <c r="AP144" s="616" t="s">
        <v>767</v>
      </c>
      <c r="AQ144" s="637" t="s">
        <v>768</v>
      </c>
      <c r="AR144" s="621"/>
      <c r="AS144" s="618"/>
      <c r="AU144" s="511"/>
      <c r="AV144" s="511"/>
      <c r="AW144" s="511"/>
      <c r="AX144" s="512">
        <f>160*64*36/1000000000</f>
        <v>3.6863999999999999E-4</v>
      </c>
      <c r="AY144" s="507">
        <f t="shared" si="49"/>
        <v>0</v>
      </c>
      <c r="AZ144" s="511">
        <v>17</v>
      </c>
      <c r="BA144" s="511">
        <v>13</v>
      </c>
      <c r="BB144" s="511">
        <v>21</v>
      </c>
      <c r="BC144" s="517"/>
      <c r="BD144" s="189" t="s">
        <v>315</v>
      </c>
      <c r="BF144" s="445"/>
      <c r="BG144" s="442"/>
      <c r="BH144" s="442"/>
    </row>
    <row r="145" spans="1:72" ht="24" customHeight="1">
      <c r="A145" s="116">
        <v>4627186341428</v>
      </c>
      <c r="B145" s="100">
        <v>3769</v>
      </c>
      <c r="C145" s="251" t="s">
        <v>769</v>
      </c>
      <c r="D145" s="826"/>
      <c r="E145" s="110" t="s">
        <v>287</v>
      </c>
      <c r="F145" s="248"/>
      <c r="G145" s="190"/>
      <c r="H145" s="190"/>
      <c r="I145" s="238"/>
      <c r="J145" s="238">
        <v>175</v>
      </c>
      <c r="K145" s="104">
        <f t="shared" si="54"/>
        <v>0</v>
      </c>
      <c r="L145" s="339">
        <f t="shared" si="50"/>
        <v>183.75</v>
      </c>
      <c r="M145" s="104">
        <f t="shared" si="56"/>
        <v>0</v>
      </c>
      <c r="N145" s="339">
        <f t="shared" si="51"/>
        <v>192.5</v>
      </c>
      <c r="O145" s="104">
        <f t="shared" si="57"/>
        <v>0</v>
      </c>
      <c r="P145" s="339">
        <f t="shared" si="52"/>
        <v>201.25</v>
      </c>
      <c r="Q145" s="104">
        <f t="shared" si="58"/>
        <v>0</v>
      </c>
      <c r="R145" s="339">
        <f t="shared" si="53"/>
        <v>218.75</v>
      </c>
      <c r="S145" s="104">
        <f t="shared" si="59"/>
        <v>0</v>
      </c>
      <c r="T145" s="105"/>
      <c r="U145" s="105"/>
      <c r="V145" s="106"/>
      <c r="W145" s="345">
        <v>330</v>
      </c>
      <c r="Y145" s="570">
        <v>12</v>
      </c>
      <c r="Z145" s="168">
        <v>3</v>
      </c>
      <c r="AA145" s="776" t="s">
        <v>557</v>
      </c>
      <c r="AB145" s="536" t="s">
        <v>558</v>
      </c>
      <c r="AC145" s="536">
        <v>47460</v>
      </c>
      <c r="AD145" s="714" t="s">
        <v>559</v>
      </c>
      <c r="AE145" s="758" t="s">
        <v>67</v>
      </c>
      <c r="AF145" s="694" t="s">
        <v>322</v>
      </c>
      <c r="AG145" s="694" t="s">
        <v>360</v>
      </c>
      <c r="AH145" s="547"/>
      <c r="AI145" s="674" t="s">
        <v>770</v>
      </c>
      <c r="AJ145" s="511"/>
      <c r="AK145" s="568">
        <v>3304990000</v>
      </c>
      <c r="AM145" s="588" t="s">
        <v>771</v>
      </c>
      <c r="AN145" s="273" t="s">
        <v>772</v>
      </c>
      <c r="AO145" s="273" t="s">
        <v>773</v>
      </c>
      <c r="AP145" s="616" t="s">
        <v>774</v>
      </c>
      <c r="AQ145" s="637" t="s">
        <v>775</v>
      </c>
      <c r="AR145" s="621"/>
      <c r="AS145" s="618"/>
      <c r="AU145" s="511"/>
      <c r="AV145" s="511"/>
      <c r="AW145" s="511"/>
      <c r="AX145" s="512"/>
      <c r="AY145" s="507">
        <f t="shared" si="49"/>
        <v>0</v>
      </c>
      <c r="AZ145" s="511"/>
      <c r="BA145" s="511"/>
      <c r="BB145" s="511"/>
      <c r="BC145" s="517"/>
      <c r="BD145" s="189"/>
      <c r="BF145" s="445"/>
      <c r="BG145" s="442"/>
      <c r="BH145" s="442"/>
    </row>
    <row r="146" spans="1:72" ht="23.25" customHeight="1">
      <c r="A146" s="116">
        <v>4620748861051</v>
      </c>
      <c r="B146" s="100">
        <v>1504</v>
      </c>
      <c r="C146" s="251" t="s">
        <v>776</v>
      </c>
      <c r="D146" s="826"/>
      <c r="E146" s="110" t="s">
        <v>321</v>
      </c>
      <c r="F146" s="248"/>
      <c r="G146" s="190"/>
      <c r="H146" s="190"/>
      <c r="I146" s="238"/>
      <c r="J146" s="238">
        <v>275</v>
      </c>
      <c r="K146" s="104">
        <f t="shared" si="54"/>
        <v>0</v>
      </c>
      <c r="L146" s="339">
        <f t="shared" si="50"/>
        <v>288.75</v>
      </c>
      <c r="M146" s="104">
        <f t="shared" si="56"/>
        <v>0</v>
      </c>
      <c r="N146" s="339">
        <f t="shared" si="51"/>
        <v>302.5</v>
      </c>
      <c r="O146" s="104">
        <f t="shared" si="57"/>
        <v>0</v>
      </c>
      <c r="P146" s="339">
        <f t="shared" si="52"/>
        <v>316.25</v>
      </c>
      <c r="Q146" s="104">
        <f t="shared" si="58"/>
        <v>0</v>
      </c>
      <c r="R146" s="339">
        <f t="shared" si="53"/>
        <v>343.75</v>
      </c>
      <c r="S146" s="104">
        <f t="shared" si="59"/>
        <v>0</v>
      </c>
      <c r="T146" s="105">
        <v>210</v>
      </c>
      <c r="U146" s="105">
        <f t="shared" ref="U146:U148" si="60">T146*F146</f>
        <v>0</v>
      </c>
      <c r="V146" s="106"/>
      <c r="W146" s="345">
        <v>520</v>
      </c>
      <c r="Y146" s="570">
        <v>12</v>
      </c>
      <c r="Z146" s="168">
        <v>3</v>
      </c>
      <c r="AA146" s="776" t="s">
        <v>557</v>
      </c>
      <c r="AB146" s="536" t="s">
        <v>558</v>
      </c>
      <c r="AC146" s="536">
        <v>47460</v>
      </c>
      <c r="AD146" s="714" t="s">
        <v>559</v>
      </c>
      <c r="AE146" s="758" t="s">
        <v>67</v>
      </c>
      <c r="AF146" s="694" t="s">
        <v>322</v>
      </c>
      <c r="AG146" s="694" t="s">
        <v>360</v>
      </c>
      <c r="AH146" s="547" t="s">
        <v>777</v>
      </c>
      <c r="AI146" s="674" t="s">
        <v>778</v>
      </c>
      <c r="AJ146" s="189"/>
      <c r="AK146" s="568">
        <v>3304990000</v>
      </c>
      <c r="AM146" s="588" t="s">
        <v>771</v>
      </c>
      <c r="AN146" s="273" t="s">
        <v>772</v>
      </c>
      <c r="AO146" s="273" t="s">
        <v>773</v>
      </c>
      <c r="AP146" s="616" t="s">
        <v>779</v>
      </c>
      <c r="AQ146" s="637" t="s">
        <v>775</v>
      </c>
      <c r="AR146" s="621"/>
      <c r="AS146" s="618"/>
      <c r="AU146" s="189"/>
      <c r="AV146" s="189"/>
      <c r="AW146" s="189"/>
      <c r="AX146" s="512">
        <f>164*47*47/1000000000</f>
        <v>3.6227600000000003E-4</v>
      </c>
      <c r="AY146" s="507">
        <f t="shared" si="49"/>
        <v>0</v>
      </c>
      <c r="AZ146" s="189"/>
      <c r="BA146" s="189"/>
      <c r="BB146" s="189"/>
      <c r="BC146" s="517"/>
      <c r="BD146" s="189" t="s">
        <v>264</v>
      </c>
      <c r="BF146" s="445"/>
      <c r="BG146" s="442" t="s">
        <v>317</v>
      </c>
      <c r="BH146" s="442"/>
    </row>
    <row r="147" spans="1:72" ht="21.75" customHeight="1">
      <c r="A147" s="116">
        <v>4627186340599</v>
      </c>
      <c r="B147" s="100">
        <v>3650</v>
      </c>
      <c r="C147" s="251" t="s">
        <v>780</v>
      </c>
      <c r="D147" s="826"/>
      <c r="E147" s="110" t="s">
        <v>287</v>
      </c>
      <c r="F147" s="248"/>
      <c r="G147" s="190"/>
      <c r="H147" s="190"/>
      <c r="I147" s="238"/>
      <c r="J147" s="275">
        <v>300</v>
      </c>
      <c r="K147" s="104">
        <f t="shared" si="54"/>
        <v>0</v>
      </c>
      <c r="L147" s="339">
        <f t="shared" si="50"/>
        <v>315</v>
      </c>
      <c r="M147" s="104">
        <f t="shared" si="56"/>
        <v>0</v>
      </c>
      <c r="N147" s="339">
        <f t="shared" si="51"/>
        <v>330</v>
      </c>
      <c r="O147" s="104">
        <f t="shared" si="57"/>
        <v>0</v>
      </c>
      <c r="P147" s="339">
        <f t="shared" si="52"/>
        <v>345</v>
      </c>
      <c r="Q147" s="104">
        <f t="shared" si="58"/>
        <v>0</v>
      </c>
      <c r="R147" s="339">
        <f t="shared" si="53"/>
        <v>375</v>
      </c>
      <c r="S147" s="104">
        <f t="shared" si="59"/>
        <v>0</v>
      </c>
      <c r="T147" s="105">
        <v>180</v>
      </c>
      <c r="U147" s="105">
        <f t="shared" si="60"/>
        <v>0</v>
      </c>
      <c r="V147" s="106"/>
      <c r="W147" s="345">
        <v>570</v>
      </c>
      <c r="Y147" s="570">
        <v>12</v>
      </c>
      <c r="Z147" s="168">
        <v>3</v>
      </c>
      <c r="AA147" s="541" t="s">
        <v>511</v>
      </c>
      <c r="AB147" s="537">
        <v>44726</v>
      </c>
      <c r="AC147" s="537">
        <v>47277</v>
      </c>
      <c r="AD147" s="718" t="s">
        <v>512</v>
      </c>
      <c r="AE147" s="758" t="s">
        <v>67</v>
      </c>
      <c r="AF147" s="695" t="s">
        <v>322</v>
      </c>
      <c r="AG147" s="695" t="s">
        <v>360</v>
      </c>
      <c r="AH147" s="547" t="s">
        <v>781</v>
      </c>
      <c r="AI147" s="677" t="s">
        <v>782</v>
      </c>
      <c r="AJ147" s="511"/>
      <c r="AK147" s="568">
        <v>3304990000</v>
      </c>
      <c r="AM147" s="588" t="s">
        <v>783</v>
      </c>
      <c r="AN147" s="273" t="s">
        <v>784</v>
      </c>
      <c r="AO147" s="273" t="s">
        <v>785</v>
      </c>
      <c r="AP147" s="616" t="s">
        <v>786</v>
      </c>
      <c r="AQ147" s="637" t="s">
        <v>787</v>
      </c>
      <c r="AR147" s="621"/>
      <c r="AS147" s="618"/>
      <c r="AU147" s="511"/>
      <c r="AV147" s="511"/>
      <c r="AW147" s="511"/>
      <c r="AX147" s="512">
        <f>154*39*39/1000000000</f>
        <v>2.3423399999999999E-4</v>
      </c>
      <c r="AY147" s="507">
        <f t="shared" si="49"/>
        <v>0</v>
      </c>
      <c r="AZ147" s="511">
        <v>14</v>
      </c>
      <c r="BA147" s="511">
        <v>12</v>
      </c>
      <c r="BB147" s="511">
        <v>16</v>
      </c>
      <c r="BC147" s="517"/>
      <c r="BD147" s="189" t="s">
        <v>264</v>
      </c>
      <c r="BF147" s="445"/>
      <c r="BG147" s="442"/>
      <c r="BH147" s="442"/>
    </row>
    <row r="148" spans="1:72" ht="22.5" customHeight="1">
      <c r="A148" s="116">
        <v>4627101826917</v>
      </c>
      <c r="B148" s="100">
        <v>2558</v>
      </c>
      <c r="C148" s="251" t="s">
        <v>788</v>
      </c>
      <c r="D148" s="826"/>
      <c r="E148" s="110" t="s">
        <v>420</v>
      </c>
      <c r="F148" s="249"/>
      <c r="G148" s="190"/>
      <c r="H148" s="190"/>
      <c r="I148" s="238"/>
      <c r="J148" s="238">
        <v>300</v>
      </c>
      <c r="K148" s="104">
        <f t="shared" si="54"/>
        <v>0</v>
      </c>
      <c r="L148" s="339">
        <f t="shared" si="50"/>
        <v>315</v>
      </c>
      <c r="M148" s="104">
        <f>L148*F148</f>
        <v>0</v>
      </c>
      <c r="N148" s="339">
        <f t="shared" si="51"/>
        <v>330</v>
      </c>
      <c r="O148" s="104">
        <f>N148*F148</f>
        <v>0</v>
      </c>
      <c r="P148" s="339">
        <f t="shared" si="52"/>
        <v>345</v>
      </c>
      <c r="Q148" s="104">
        <f>P148*F148</f>
        <v>0</v>
      </c>
      <c r="R148" s="339">
        <f t="shared" si="53"/>
        <v>375</v>
      </c>
      <c r="S148" s="104">
        <f>R148*F148</f>
        <v>0</v>
      </c>
      <c r="T148" s="105">
        <v>80</v>
      </c>
      <c r="U148" s="105">
        <f t="shared" si="60"/>
        <v>0</v>
      </c>
      <c r="V148" s="106"/>
      <c r="W148" s="345">
        <v>570</v>
      </c>
      <c r="Y148" s="570">
        <v>12</v>
      </c>
      <c r="Z148" s="168">
        <v>3</v>
      </c>
      <c r="AA148" s="541" t="s">
        <v>691</v>
      </c>
      <c r="AB148" s="537">
        <v>45135</v>
      </c>
      <c r="AC148" s="537">
        <v>47691</v>
      </c>
      <c r="AD148" s="717" t="s">
        <v>789</v>
      </c>
      <c r="AE148" s="758" t="s">
        <v>141</v>
      </c>
      <c r="AF148" s="695" t="s">
        <v>322</v>
      </c>
      <c r="AG148" s="695" t="s">
        <v>323</v>
      </c>
      <c r="AH148" s="547" t="s">
        <v>577</v>
      </c>
      <c r="AI148" s="677" t="s">
        <v>790</v>
      </c>
      <c r="AJ148" s="189"/>
      <c r="AK148" s="568">
        <v>3304990000</v>
      </c>
      <c r="AM148" s="588" t="s">
        <v>791</v>
      </c>
      <c r="AN148" s="273" t="s">
        <v>792</v>
      </c>
      <c r="AO148" s="273" t="s">
        <v>793</v>
      </c>
      <c r="AP148" s="616" t="s">
        <v>794</v>
      </c>
      <c r="AQ148" s="637" t="s">
        <v>795</v>
      </c>
      <c r="AR148" s="621"/>
      <c r="AS148" s="618"/>
      <c r="AU148" s="189"/>
      <c r="AV148" s="189"/>
      <c r="AW148" s="189"/>
      <c r="AX148" s="512">
        <f>107*33*33/1000000000</f>
        <v>1.16523E-4</v>
      </c>
      <c r="AY148" s="507">
        <f t="shared" si="49"/>
        <v>0</v>
      </c>
      <c r="AZ148" s="189"/>
      <c r="BA148" s="189"/>
      <c r="BB148" s="189"/>
      <c r="BC148" s="517"/>
      <c r="BD148" s="189"/>
      <c r="BF148" s="499" t="s">
        <v>679</v>
      </c>
      <c r="BG148" s="442" t="s">
        <v>680</v>
      </c>
      <c r="BH148" s="442" t="s">
        <v>407</v>
      </c>
    </row>
    <row r="149" spans="1:72" s="3" customFormat="1" ht="24" customHeight="1">
      <c r="A149" s="485" t="s">
        <v>156</v>
      </c>
      <c r="B149" s="274"/>
      <c r="C149" s="271" t="s">
        <v>796</v>
      </c>
      <c r="D149" s="827"/>
      <c r="E149" s="270"/>
      <c r="F149" s="491"/>
      <c r="G149" s="308"/>
      <c r="H149" s="308"/>
      <c r="I149" s="310"/>
      <c r="J149" s="311"/>
      <c r="K149" s="488">
        <f>K151+K152+K153+K154+K155+K156+K157+K158+K159+K160+K161+K162+K163+K164+K165+K150</f>
        <v>0</v>
      </c>
      <c r="L149" s="489"/>
      <c r="M149" s="488">
        <f>M151+M152+M153+M154+M155+M156+M157+M158+M159+M160+M161+M162+M163+M164+M165+M150</f>
        <v>0</v>
      </c>
      <c r="N149" s="489"/>
      <c r="O149" s="488">
        <f>O151+O152+O153+O154+O155+O156+O157+O158+O159+O160+O161+O162+O163+O164+O165+O150</f>
        <v>0</v>
      </c>
      <c r="P149" s="489"/>
      <c r="Q149" s="488">
        <f>Q151+Q152+Q153+Q154+Q155+Q156+Q157+Q158+Q159+Q160+Q161+Q162+Q163+Q164+Q165+Q150</f>
        <v>0</v>
      </c>
      <c r="R149" s="489"/>
      <c r="S149" s="488">
        <f>S151+S152+S153+S154+S155+S156+S157+S158+S159+S160+S161+S162+S163+S164+S165+S150</f>
        <v>0</v>
      </c>
      <c r="T149" s="311"/>
      <c r="U149" s="346">
        <f>U151+U152+U153+U154+U155+U156+U157+U158+U159+U160+U161+U162+U163+U164+U165</f>
        <v>0</v>
      </c>
      <c r="V149" s="293"/>
      <c r="W149" s="293"/>
      <c r="X149" s="446"/>
      <c r="Y149" s="562"/>
      <c r="Z149" s="293"/>
      <c r="AA149" s="772"/>
      <c r="AB149" s="543"/>
      <c r="AC149" s="543"/>
      <c r="AD149" s="716"/>
      <c r="AE149" s="716"/>
      <c r="AF149" s="701"/>
      <c r="AG149" s="701"/>
      <c r="AH149" s="546"/>
      <c r="AI149" s="675"/>
      <c r="AJ149" s="293"/>
      <c r="AK149" s="563"/>
      <c r="AL149" s="554"/>
      <c r="AM149" s="562"/>
      <c r="AN149" s="293"/>
      <c r="AO149" s="293"/>
      <c r="AP149" s="293"/>
      <c r="AQ149" s="293"/>
      <c r="AR149" s="293"/>
      <c r="AS149" s="563"/>
      <c r="AU149" s="293"/>
      <c r="AV149" s="293"/>
      <c r="AW149" s="293"/>
      <c r="AX149" s="293"/>
      <c r="AY149" s="293"/>
      <c r="AZ149" s="293"/>
      <c r="BA149" s="293"/>
      <c r="BB149" s="293"/>
      <c r="BC149" s="293"/>
      <c r="BD149" s="293"/>
      <c r="BF149" s="447"/>
    </row>
    <row r="150" spans="1:72" s="446" customFormat="1" ht="31.5" customHeight="1">
      <c r="A150" s="277" t="s">
        <v>797</v>
      </c>
      <c r="B150" s="324">
        <v>3707</v>
      </c>
      <c r="C150" s="347" t="s">
        <v>798</v>
      </c>
      <c r="D150" s="831"/>
      <c r="E150" s="281" t="s">
        <v>304</v>
      </c>
      <c r="F150" s="325"/>
      <c r="G150" s="348"/>
      <c r="H150" s="348"/>
      <c r="I150" s="245"/>
      <c r="J150" s="267">
        <v>350</v>
      </c>
      <c r="K150" s="246">
        <f>J150*F150</f>
        <v>0</v>
      </c>
      <c r="L150" s="349">
        <v>368</v>
      </c>
      <c r="M150" s="246">
        <f>L150*F150</f>
        <v>0</v>
      </c>
      <c r="N150" s="349">
        <v>385</v>
      </c>
      <c r="O150" s="246">
        <f>N150*F150</f>
        <v>0</v>
      </c>
      <c r="P150" s="349">
        <v>403</v>
      </c>
      <c r="Q150" s="246">
        <f>P150*F150</f>
        <v>0</v>
      </c>
      <c r="R150" s="349">
        <v>438</v>
      </c>
      <c r="S150" s="246">
        <f>R150*F150</f>
        <v>0</v>
      </c>
      <c r="T150" s="350">
        <v>209</v>
      </c>
      <c r="U150" s="350">
        <f>T150*F150</f>
        <v>0</v>
      </c>
      <c r="V150" s="351"/>
      <c r="W150" s="301">
        <v>665</v>
      </c>
      <c r="Y150" s="572">
        <v>18</v>
      </c>
      <c r="Z150" s="481">
        <v>6</v>
      </c>
      <c r="AA150" s="775" t="s">
        <v>463</v>
      </c>
      <c r="AB150" s="538">
        <v>44167</v>
      </c>
      <c r="AC150" s="538">
        <v>45992</v>
      </c>
      <c r="AD150" s="719" t="s">
        <v>464</v>
      </c>
      <c r="AE150" s="719" t="s">
        <v>67</v>
      </c>
      <c r="AF150" s="700" t="s">
        <v>452</v>
      </c>
      <c r="AG150" s="700" t="s">
        <v>465</v>
      </c>
      <c r="AH150" s="108" t="s">
        <v>466</v>
      </c>
      <c r="AI150" s="784" t="s">
        <v>799</v>
      </c>
      <c r="AJ150" s="133"/>
      <c r="AK150" s="569">
        <v>3401300000</v>
      </c>
      <c r="AL150" s="556"/>
      <c r="AM150" s="610" t="s">
        <v>800</v>
      </c>
      <c r="AN150" s="611" t="s">
        <v>801</v>
      </c>
      <c r="AO150" s="611" t="s">
        <v>802</v>
      </c>
      <c r="AP150" s="608" t="s">
        <v>803</v>
      </c>
      <c r="AQ150" s="613" t="s">
        <v>804</v>
      </c>
      <c r="AR150" s="638"/>
      <c r="AS150" s="639"/>
      <c r="AT150" s="3"/>
      <c r="AU150" s="133"/>
      <c r="AV150" s="133"/>
      <c r="AW150" s="133"/>
      <c r="AX150" s="510"/>
      <c r="AY150" s="507">
        <f t="shared" ref="AY150:AY165" si="61">AX150*F150</f>
        <v>0</v>
      </c>
      <c r="AZ150" s="133"/>
      <c r="BA150" s="133"/>
      <c r="BB150" s="133"/>
      <c r="BC150" s="189"/>
      <c r="BD150" s="133"/>
      <c r="BE150" s="3"/>
      <c r="BF150" s="447"/>
      <c r="BG150" s="3"/>
      <c r="BH150" s="3"/>
      <c r="BI150" s="3"/>
      <c r="BJ150" s="3"/>
      <c r="BK150" s="3"/>
      <c r="BL150" s="3"/>
      <c r="BM150" s="3"/>
      <c r="BN150" s="3"/>
      <c r="BO150" s="3"/>
      <c r="BP150" s="3"/>
      <c r="BQ150" s="3"/>
      <c r="BR150" s="3"/>
      <c r="BS150" s="3"/>
      <c r="BT150" s="3"/>
    </row>
    <row r="151" spans="1:72" s="441" customFormat="1" ht="17.25" customHeight="1">
      <c r="A151" s="282" t="s">
        <v>805</v>
      </c>
      <c r="B151" s="108">
        <v>3390</v>
      </c>
      <c r="C151" s="251" t="s">
        <v>806</v>
      </c>
      <c r="D151" s="826"/>
      <c r="E151" s="110" t="s">
        <v>304</v>
      </c>
      <c r="F151" s="326"/>
      <c r="G151" s="276"/>
      <c r="H151" s="276"/>
      <c r="I151" s="317"/>
      <c r="J151" s="275">
        <v>310</v>
      </c>
      <c r="K151" s="318">
        <f>J151*F151</f>
        <v>0</v>
      </c>
      <c r="L151" s="352">
        <f>J151+J151*5%</f>
        <v>325.5</v>
      </c>
      <c r="M151" s="318">
        <f>L151*F151</f>
        <v>0</v>
      </c>
      <c r="N151" s="352">
        <f>J151+J151*10%</f>
        <v>341</v>
      </c>
      <c r="O151" s="318">
        <f>N151*F151</f>
        <v>0</v>
      </c>
      <c r="P151" s="352">
        <f>J151+J151*15%</f>
        <v>356.5</v>
      </c>
      <c r="Q151" s="318">
        <f>P151*F151</f>
        <v>0</v>
      </c>
      <c r="R151" s="352">
        <f>J151+J151*25%</f>
        <v>387.5</v>
      </c>
      <c r="S151" s="318">
        <f>R151*F151</f>
        <v>0</v>
      </c>
      <c r="T151" s="105">
        <v>205</v>
      </c>
      <c r="U151" s="105">
        <f>T151*F151</f>
        <v>0</v>
      </c>
      <c r="V151" s="106"/>
      <c r="W151" s="301">
        <v>585</v>
      </c>
      <c r="X151" s="446"/>
      <c r="Y151" s="572">
        <v>18</v>
      </c>
      <c r="Z151" s="481">
        <v>6</v>
      </c>
      <c r="AA151" s="775" t="s">
        <v>463</v>
      </c>
      <c r="AB151" s="538">
        <v>44167</v>
      </c>
      <c r="AC151" s="538">
        <v>45992</v>
      </c>
      <c r="AD151" s="719" t="s">
        <v>464</v>
      </c>
      <c r="AE151" s="719" t="s">
        <v>67</v>
      </c>
      <c r="AF151" s="700" t="s">
        <v>452</v>
      </c>
      <c r="AG151" s="700" t="s">
        <v>465</v>
      </c>
      <c r="AH151" s="108" t="s">
        <v>475</v>
      </c>
      <c r="AI151" s="784" t="s">
        <v>807</v>
      </c>
      <c r="AJ151" s="133"/>
      <c r="AK151" s="568">
        <v>3401300000</v>
      </c>
      <c r="AL151" s="551"/>
      <c r="AM151" s="610" t="s">
        <v>808</v>
      </c>
      <c r="AN151" s="611" t="s">
        <v>801</v>
      </c>
      <c r="AO151" s="611" t="s">
        <v>809</v>
      </c>
      <c r="AP151" s="608" t="s">
        <v>810</v>
      </c>
      <c r="AQ151" s="613" t="s">
        <v>811</v>
      </c>
      <c r="AR151" s="638"/>
      <c r="AS151" s="639"/>
      <c r="AT151" s="3"/>
      <c r="AU151" s="133"/>
      <c r="AV151" s="133"/>
      <c r="AW151" s="133"/>
      <c r="AX151" s="512">
        <f>124*35*35/1000000000</f>
        <v>1.5190000000000001E-4</v>
      </c>
      <c r="AY151" s="507">
        <f t="shared" si="61"/>
        <v>0</v>
      </c>
      <c r="AZ151" s="133"/>
      <c r="BA151" s="133"/>
      <c r="BB151" s="133"/>
      <c r="BC151" s="189"/>
      <c r="BD151" s="133"/>
      <c r="BE151" s="3"/>
      <c r="BF151" s="447"/>
      <c r="BG151" s="3"/>
      <c r="BH151" s="3"/>
      <c r="BI151" s="3"/>
      <c r="BJ151" s="3"/>
      <c r="BK151" s="3"/>
      <c r="BL151" s="3"/>
      <c r="BM151" s="3"/>
      <c r="BN151" s="3"/>
      <c r="BO151" s="3"/>
      <c r="BP151" s="3"/>
      <c r="BQ151" s="3"/>
      <c r="BR151" s="3"/>
      <c r="BS151" s="3"/>
      <c r="BT151" s="3"/>
    </row>
    <row r="152" spans="1:72" s="441" customFormat="1" ht="19.5" customHeight="1">
      <c r="A152" s="282" t="s">
        <v>812</v>
      </c>
      <c r="B152" s="108">
        <v>3438</v>
      </c>
      <c r="C152" s="251" t="s">
        <v>813</v>
      </c>
      <c r="D152" s="826"/>
      <c r="E152" s="110" t="s">
        <v>304</v>
      </c>
      <c r="F152" s="326"/>
      <c r="G152" s="276"/>
      <c r="H152" s="276"/>
      <c r="I152" s="317"/>
      <c r="J152" s="275">
        <v>310</v>
      </c>
      <c r="K152" s="318">
        <f>J152*F152</f>
        <v>0</v>
      </c>
      <c r="L152" s="352">
        <f t="shared" ref="L152:L165" si="62">J152+J152*5%</f>
        <v>325.5</v>
      </c>
      <c r="M152" s="318">
        <f>L152*F152</f>
        <v>0</v>
      </c>
      <c r="N152" s="352">
        <f t="shared" ref="N152:N165" si="63">J152+J152*10%</f>
        <v>341</v>
      </c>
      <c r="O152" s="318">
        <f>N152*F152</f>
        <v>0</v>
      </c>
      <c r="P152" s="352">
        <f t="shared" ref="P152:P165" si="64">J152+J152*15%</f>
        <v>356.5</v>
      </c>
      <c r="Q152" s="318">
        <f>P152*F152</f>
        <v>0</v>
      </c>
      <c r="R152" s="352">
        <f t="shared" ref="R152:R165" si="65">J152+J152*25%</f>
        <v>387.5</v>
      </c>
      <c r="S152" s="318">
        <f>R152*F152</f>
        <v>0</v>
      </c>
      <c r="T152" s="105">
        <v>160</v>
      </c>
      <c r="U152" s="105">
        <f t="shared" ref="U152:U165" si="66">T152*F152</f>
        <v>0</v>
      </c>
      <c r="V152" s="106"/>
      <c r="W152" s="301">
        <v>585</v>
      </c>
      <c r="X152" s="446"/>
      <c r="Y152" s="567">
        <v>12</v>
      </c>
      <c r="Z152" s="189">
        <v>3</v>
      </c>
      <c r="AA152" s="776" t="s">
        <v>614</v>
      </c>
      <c r="AB152" s="536">
        <v>43998</v>
      </c>
      <c r="AC152" s="536">
        <v>45823</v>
      </c>
      <c r="AD152" s="714" t="s">
        <v>615</v>
      </c>
      <c r="AE152" s="719" t="s">
        <v>67</v>
      </c>
      <c r="AF152" s="700" t="s">
        <v>814</v>
      </c>
      <c r="AG152" s="700" t="s">
        <v>452</v>
      </c>
      <c r="AH152" s="108" t="s">
        <v>616</v>
      </c>
      <c r="AI152" s="784" t="s">
        <v>707</v>
      </c>
      <c r="AJ152" s="133"/>
      <c r="AK152" s="571">
        <v>3304990000</v>
      </c>
      <c r="AL152" s="557"/>
      <c r="AM152" s="610" t="s">
        <v>815</v>
      </c>
      <c r="AN152" s="611" t="s">
        <v>816</v>
      </c>
      <c r="AO152" s="611" t="s">
        <v>817</v>
      </c>
      <c r="AP152" s="608" t="s">
        <v>818</v>
      </c>
      <c r="AQ152" s="613" t="s">
        <v>819</v>
      </c>
      <c r="AR152" s="638"/>
      <c r="AS152" s="639"/>
      <c r="AT152" s="3"/>
      <c r="AU152" s="133"/>
      <c r="AV152" s="133"/>
      <c r="AW152" s="133"/>
      <c r="AX152" s="510"/>
      <c r="AY152" s="507">
        <f t="shared" si="61"/>
        <v>0</v>
      </c>
      <c r="AZ152" s="133"/>
      <c r="BA152" s="133"/>
      <c r="BB152" s="133"/>
      <c r="BC152" s="189"/>
      <c r="BD152" s="133"/>
      <c r="BE152" s="3"/>
      <c r="BF152" s="447"/>
      <c r="BG152" s="3"/>
      <c r="BH152" s="3"/>
      <c r="BI152" s="3"/>
      <c r="BJ152" s="3"/>
      <c r="BK152" s="3"/>
      <c r="BL152" s="3"/>
      <c r="BM152" s="3"/>
      <c r="BN152" s="3"/>
      <c r="BO152" s="3"/>
      <c r="BP152" s="3"/>
      <c r="BQ152" s="3"/>
      <c r="BR152" s="3"/>
      <c r="BS152" s="3"/>
      <c r="BT152" s="3"/>
    </row>
    <row r="153" spans="1:72" s="3" customFormat="1" ht="19.5" customHeight="1">
      <c r="A153" s="282" t="s">
        <v>820</v>
      </c>
      <c r="B153" s="108">
        <v>3172</v>
      </c>
      <c r="C153" s="251" t="s">
        <v>821</v>
      </c>
      <c r="D153" s="826"/>
      <c r="E153" s="110" t="s">
        <v>822</v>
      </c>
      <c r="F153" s="326"/>
      <c r="G153" s="276"/>
      <c r="H153" s="276"/>
      <c r="I153" s="317"/>
      <c r="J153" s="238">
        <v>150</v>
      </c>
      <c r="K153" s="104">
        <f>F153*J153</f>
        <v>0</v>
      </c>
      <c r="L153" s="339">
        <f t="shared" si="62"/>
        <v>157.5</v>
      </c>
      <c r="M153" s="104">
        <f>F153*L153</f>
        <v>0</v>
      </c>
      <c r="N153" s="339">
        <f t="shared" si="63"/>
        <v>165</v>
      </c>
      <c r="O153" s="104">
        <f>F153*N153</f>
        <v>0</v>
      </c>
      <c r="P153" s="339">
        <f t="shared" si="64"/>
        <v>172.5</v>
      </c>
      <c r="Q153" s="104">
        <f>F153*P153</f>
        <v>0</v>
      </c>
      <c r="R153" s="353">
        <f t="shared" si="65"/>
        <v>187.5</v>
      </c>
      <c r="S153" s="318">
        <f>R153*F153</f>
        <v>0</v>
      </c>
      <c r="T153" s="105">
        <v>65</v>
      </c>
      <c r="U153" s="105">
        <f t="shared" si="66"/>
        <v>0</v>
      </c>
      <c r="V153" s="106"/>
      <c r="W153" s="301">
        <v>285</v>
      </c>
      <c r="X153" s="446"/>
      <c r="Y153" s="567">
        <v>12</v>
      </c>
      <c r="Z153" s="189">
        <v>3</v>
      </c>
      <c r="AA153" s="541" t="s">
        <v>624</v>
      </c>
      <c r="AB153" s="537">
        <v>44727</v>
      </c>
      <c r="AC153" s="537">
        <v>47278</v>
      </c>
      <c r="AD153" s="718" t="s">
        <v>625</v>
      </c>
      <c r="AE153" s="719" t="s">
        <v>67</v>
      </c>
      <c r="AF153" s="700" t="s">
        <v>823</v>
      </c>
      <c r="AG153" s="700" t="s">
        <v>452</v>
      </c>
      <c r="AH153" s="108" t="s">
        <v>824</v>
      </c>
      <c r="AI153" s="707" t="s">
        <v>825</v>
      </c>
      <c r="AJ153" s="189"/>
      <c r="AK153" s="568">
        <v>3401300000</v>
      </c>
      <c r="AL153" s="551"/>
      <c r="AM153" s="610" t="s">
        <v>826</v>
      </c>
      <c r="AN153" s="611" t="s">
        <v>827</v>
      </c>
      <c r="AO153" s="611" t="s">
        <v>828</v>
      </c>
      <c r="AP153" s="640" t="s">
        <v>829</v>
      </c>
      <c r="AQ153" s="613" t="s">
        <v>830</v>
      </c>
      <c r="AR153" s="638"/>
      <c r="AS153" s="641" t="s">
        <v>831</v>
      </c>
      <c r="AU153" s="189"/>
      <c r="AV153" s="189"/>
      <c r="AW153" s="189"/>
      <c r="AX153" s="512">
        <f>124*35*35/1000000000</f>
        <v>1.5190000000000001E-4</v>
      </c>
      <c r="AY153" s="507">
        <f t="shared" si="61"/>
        <v>0</v>
      </c>
      <c r="AZ153" s="189"/>
      <c r="BA153" s="189"/>
      <c r="BB153" s="189"/>
      <c r="BC153" s="189"/>
      <c r="BD153" s="189" t="s">
        <v>264</v>
      </c>
      <c r="BF153" s="447"/>
    </row>
    <row r="154" spans="1:72" s="3" customFormat="1" ht="19.5" customHeight="1">
      <c r="A154" s="282" t="s">
        <v>832</v>
      </c>
      <c r="B154" s="108">
        <v>3171</v>
      </c>
      <c r="C154" s="251" t="s">
        <v>833</v>
      </c>
      <c r="D154" s="826"/>
      <c r="E154" s="110" t="s">
        <v>304</v>
      </c>
      <c r="F154" s="326"/>
      <c r="G154" s="276"/>
      <c r="H154" s="276"/>
      <c r="I154" s="317"/>
      <c r="J154" s="275">
        <v>265</v>
      </c>
      <c r="K154" s="318">
        <f>J154*F154</f>
        <v>0</v>
      </c>
      <c r="L154" s="339">
        <f t="shared" si="62"/>
        <v>278.25</v>
      </c>
      <c r="M154" s="318">
        <f>L154*F154</f>
        <v>0</v>
      </c>
      <c r="N154" s="339">
        <f t="shared" si="63"/>
        <v>291.5</v>
      </c>
      <c r="O154" s="318">
        <f>N154*F154</f>
        <v>0</v>
      </c>
      <c r="P154" s="339">
        <f t="shared" si="64"/>
        <v>304.75</v>
      </c>
      <c r="Q154" s="318">
        <f>P154*F154</f>
        <v>0</v>
      </c>
      <c r="R154" s="339">
        <f t="shared" si="65"/>
        <v>331.25</v>
      </c>
      <c r="S154" s="318">
        <f>R154*F154</f>
        <v>0</v>
      </c>
      <c r="T154" s="105">
        <v>160</v>
      </c>
      <c r="U154" s="105">
        <f t="shared" si="66"/>
        <v>0</v>
      </c>
      <c r="V154" s="106"/>
      <c r="W154" s="301">
        <v>500</v>
      </c>
      <c r="X154" s="446"/>
      <c r="Y154" s="567">
        <v>12</v>
      </c>
      <c r="Z154" s="189">
        <v>3</v>
      </c>
      <c r="AA154" s="541" t="s">
        <v>624</v>
      </c>
      <c r="AB154" s="537">
        <v>44727</v>
      </c>
      <c r="AC154" s="537">
        <v>47278</v>
      </c>
      <c r="AD154" s="718" t="s">
        <v>625</v>
      </c>
      <c r="AE154" s="719" t="s">
        <v>67</v>
      </c>
      <c r="AF154" s="700" t="s">
        <v>823</v>
      </c>
      <c r="AG154" s="700" t="s">
        <v>452</v>
      </c>
      <c r="AH154" s="108" t="s">
        <v>308</v>
      </c>
      <c r="AI154" s="707" t="s">
        <v>834</v>
      </c>
      <c r="AJ154" s="189"/>
      <c r="AK154" s="568">
        <v>3401300000</v>
      </c>
      <c r="AL154" s="551"/>
      <c r="AM154" s="610" t="s">
        <v>826</v>
      </c>
      <c r="AN154" s="611" t="s">
        <v>827</v>
      </c>
      <c r="AO154" s="611" t="s">
        <v>828</v>
      </c>
      <c r="AP154" s="640" t="s">
        <v>829</v>
      </c>
      <c r="AQ154" s="613" t="s">
        <v>830</v>
      </c>
      <c r="AR154" s="638"/>
      <c r="AS154" s="641" t="s">
        <v>831</v>
      </c>
      <c r="AU154" s="189"/>
      <c r="AV154" s="189"/>
      <c r="AW154" s="189"/>
      <c r="AX154" s="512">
        <f>165*52*34/1000000000</f>
        <v>2.9171999999999998E-4</v>
      </c>
      <c r="AY154" s="507">
        <f t="shared" si="61"/>
        <v>0</v>
      </c>
      <c r="AZ154" s="189"/>
      <c r="BA154" s="189"/>
      <c r="BB154" s="189"/>
      <c r="BC154" s="189"/>
      <c r="BD154" s="189" t="s">
        <v>315</v>
      </c>
      <c r="BF154" s="447"/>
    </row>
    <row r="155" spans="1:72" s="3" customFormat="1" ht="19.5" customHeight="1">
      <c r="A155" s="116">
        <v>4627101822971</v>
      </c>
      <c r="B155" s="108">
        <v>1814</v>
      </c>
      <c r="C155" s="251" t="s">
        <v>835</v>
      </c>
      <c r="D155" s="826"/>
      <c r="E155" s="110" t="s">
        <v>510</v>
      </c>
      <c r="F155" s="248"/>
      <c r="G155" s="111"/>
      <c r="H155" s="111"/>
      <c r="I155" s="238"/>
      <c r="J155" s="238">
        <v>155</v>
      </c>
      <c r="K155" s="104">
        <f>F155*J155</f>
        <v>0</v>
      </c>
      <c r="L155" s="339">
        <f t="shared" si="62"/>
        <v>162.75</v>
      </c>
      <c r="M155" s="104">
        <f>F155*L155</f>
        <v>0</v>
      </c>
      <c r="N155" s="339">
        <f t="shared" si="63"/>
        <v>170.5</v>
      </c>
      <c r="O155" s="104">
        <f>F155*N155</f>
        <v>0</v>
      </c>
      <c r="P155" s="339">
        <f t="shared" si="64"/>
        <v>178.25</v>
      </c>
      <c r="Q155" s="104">
        <f>F155*P155</f>
        <v>0</v>
      </c>
      <c r="R155" s="339">
        <f t="shared" si="65"/>
        <v>193.75</v>
      </c>
      <c r="S155" s="104">
        <f>F155*R155</f>
        <v>0</v>
      </c>
      <c r="T155" s="105">
        <v>19.7</v>
      </c>
      <c r="U155" s="105">
        <f t="shared" si="66"/>
        <v>0</v>
      </c>
      <c r="V155" s="106"/>
      <c r="W155" s="301">
        <v>294.5</v>
      </c>
      <c r="X155" s="446"/>
      <c r="Y155" s="567">
        <v>9</v>
      </c>
      <c r="Z155" s="189">
        <v>3</v>
      </c>
      <c r="AA155" s="541" t="s">
        <v>603</v>
      </c>
      <c r="AB155" s="537">
        <v>43894</v>
      </c>
      <c r="AC155" s="537">
        <v>45719</v>
      </c>
      <c r="AD155" s="768" t="s">
        <v>604</v>
      </c>
      <c r="AE155" s="719" t="s">
        <v>67</v>
      </c>
      <c r="AF155" s="700" t="s">
        <v>836</v>
      </c>
      <c r="AG155" s="700" t="s">
        <v>452</v>
      </c>
      <c r="AH155" s="108" t="s">
        <v>837</v>
      </c>
      <c r="AI155" s="686" t="s">
        <v>606</v>
      </c>
      <c r="AJ155" s="189"/>
      <c r="AK155" s="568">
        <v>3304100000</v>
      </c>
      <c r="AL155" s="551"/>
      <c r="AM155" s="610" t="s">
        <v>838</v>
      </c>
      <c r="AN155" s="611" t="s">
        <v>839</v>
      </c>
      <c r="AO155" s="611" t="s">
        <v>840</v>
      </c>
      <c r="AP155" s="616" t="s">
        <v>841</v>
      </c>
      <c r="AQ155" s="617" t="s">
        <v>842</v>
      </c>
      <c r="AR155" s="621"/>
      <c r="AS155" s="618"/>
      <c r="AU155" s="189"/>
      <c r="AV155" s="189"/>
      <c r="AW155" s="189"/>
      <c r="AX155" s="512">
        <f>94*44*25/1000000000</f>
        <v>1.0340000000000001E-4</v>
      </c>
      <c r="AY155" s="507">
        <f t="shared" si="61"/>
        <v>0</v>
      </c>
      <c r="AZ155" s="189"/>
      <c r="BA155" s="189"/>
      <c r="BB155" s="189"/>
      <c r="BC155" s="189"/>
      <c r="BD155" s="189" t="s">
        <v>315</v>
      </c>
      <c r="BF155" s="447"/>
      <c r="BG155" s="442"/>
      <c r="BH155" s="442"/>
    </row>
    <row r="156" spans="1:72" s="3" customFormat="1" ht="19.5" customHeight="1">
      <c r="A156" s="116">
        <v>4627101822964</v>
      </c>
      <c r="B156" s="108">
        <v>1914</v>
      </c>
      <c r="C156" s="251" t="s">
        <v>843</v>
      </c>
      <c r="D156" s="826"/>
      <c r="E156" s="110" t="s">
        <v>287</v>
      </c>
      <c r="F156" s="248"/>
      <c r="G156" s="111"/>
      <c r="H156" s="111"/>
      <c r="I156" s="238"/>
      <c r="J156" s="275">
        <v>280</v>
      </c>
      <c r="K156" s="104">
        <f>F156*J156</f>
        <v>0</v>
      </c>
      <c r="L156" s="339">
        <f t="shared" si="62"/>
        <v>294</v>
      </c>
      <c r="M156" s="104">
        <f>F156*L156</f>
        <v>0</v>
      </c>
      <c r="N156" s="339">
        <f t="shared" si="63"/>
        <v>308</v>
      </c>
      <c r="O156" s="104">
        <f>F156*N156</f>
        <v>0</v>
      </c>
      <c r="P156" s="339">
        <f t="shared" si="64"/>
        <v>322</v>
      </c>
      <c r="Q156" s="104">
        <f>F156*P156</f>
        <v>0</v>
      </c>
      <c r="R156" s="339">
        <f t="shared" si="65"/>
        <v>350</v>
      </c>
      <c r="S156" s="104">
        <f>F156*R156</f>
        <v>0</v>
      </c>
      <c r="T156" s="105">
        <v>125</v>
      </c>
      <c r="U156" s="105">
        <f t="shared" si="66"/>
        <v>0</v>
      </c>
      <c r="V156" s="106"/>
      <c r="W156" s="301">
        <v>530</v>
      </c>
      <c r="X156" s="446"/>
      <c r="Y156" s="567">
        <v>9</v>
      </c>
      <c r="Z156" s="189">
        <v>3</v>
      </c>
      <c r="AA156" s="541" t="s">
        <v>844</v>
      </c>
      <c r="AB156" s="537">
        <v>45132</v>
      </c>
      <c r="AC156" s="537">
        <v>47688</v>
      </c>
      <c r="AD156" s="717" t="s">
        <v>845</v>
      </c>
      <c r="AE156" s="719" t="s">
        <v>67</v>
      </c>
      <c r="AF156" s="700" t="s">
        <v>465</v>
      </c>
      <c r="AG156" s="700" t="s">
        <v>452</v>
      </c>
      <c r="AH156" s="108" t="s">
        <v>846</v>
      </c>
      <c r="AI156" s="784" t="s">
        <v>847</v>
      </c>
      <c r="AJ156" s="189"/>
      <c r="AK156" s="568">
        <v>3304990000</v>
      </c>
      <c r="AL156" s="551"/>
      <c r="AM156" s="610" t="s">
        <v>848</v>
      </c>
      <c r="AN156" s="611" t="s">
        <v>849</v>
      </c>
      <c r="AO156" s="611" t="s">
        <v>850</v>
      </c>
      <c r="AP156" s="612" t="s">
        <v>851</v>
      </c>
      <c r="AQ156" s="617" t="s">
        <v>852</v>
      </c>
      <c r="AR156" s="619" t="s">
        <v>340</v>
      </c>
      <c r="AS156" s="615"/>
      <c r="AU156" s="189"/>
      <c r="AV156" s="189"/>
      <c r="AW156" s="189"/>
      <c r="AX156" s="512">
        <f>144*51*29/1000000000</f>
        <v>2.12976E-4</v>
      </c>
      <c r="AY156" s="507">
        <f t="shared" si="61"/>
        <v>0</v>
      </c>
      <c r="AZ156" s="189"/>
      <c r="BA156" s="189"/>
      <c r="BB156" s="189"/>
      <c r="BC156" s="189"/>
      <c r="BD156" s="189" t="s">
        <v>315</v>
      </c>
      <c r="BF156" s="447"/>
      <c r="BG156" s="442" t="s">
        <v>853</v>
      </c>
      <c r="BH156" s="442" t="s">
        <v>302</v>
      </c>
    </row>
    <row r="157" spans="1:72" s="3" customFormat="1" ht="19.5" customHeight="1">
      <c r="A157" s="116">
        <v>4627101822957</v>
      </c>
      <c r="B157" s="108">
        <v>1899</v>
      </c>
      <c r="C157" s="251" t="s">
        <v>854</v>
      </c>
      <c r="D157" s="826"/>
      <c r="E157" s="110" t="s">
        <v>222</v>
      </c>
      <c r="F157" s="248"/>
      <c r="G157" s="111"/>
      <c r="H157" s="111"/>
      <c r="I157" s="238"/>
      <c r="J157" s="238">
        <v>290</v>
      </c>
      <c r="K157" s="104">
        <f>F157*J157</f>
        <v>0</v>
      </c>
      <c r="L157" s="339">
        <f t="shared" si="62"/>
        <v>304.5</v>
      </c>
      <c r="M157" s="104">
        <f>F157*L157</f>
        <v>0</v>
      </c>
      <c r="N157" s="339">
        <f t="shared" si="63"/>
        <v>319</v>
      </c>
      <c r="O157" s="104">
        <f>F157*N157</f>
        <v>0</v>
      </c>
      <c r="P157" s="339">
        <f t="shared" si="64"/>
        <v>333.5</v>
      </c>
      <c r="Q157" s="104">
        <f>F157*P157</f>
        <v>0</v>
      </c>
      <c r="R157" s="339">
        <f t="shared" si="65"/>
        <v>362.5</v>
      </c>
      <c r="S157" s="104">
        <f>F157*R157</f>
        <v>0</v>
      </c>
      <c r="T157" s="105">
        <v>30</v>
      </c>
      <c r="U157" s="105">
        <f t="shared" si="66"/>
        <v>0</v>
      </c>
      <c r="V157" s="106"/>
      <c r="W157" s="301">
        <v>550</v>
      </c>
      <c r="X157" s="446"/>
      <c r="Y157" s="567">
        <v>12</v>
      </c>
      <c r="Z157" s="189">
        <v>3</v>
      </c>
      <c r="AA157" s="541" t="s">
        <v>511</v>
      </c>
      <c r="AB157" s="537">
        <v>44726</v>
      </c>
      <c r="AC157" s="537">
        <v>47277</v>
      </c>
      <c r="AD157" s="718" t="s">
        <v>512</v>
      </c>
      <c r="AE157" s="719" t="s">
        <v>67</v>
      </c>
      <c r="AF157" s="700" t="s">
        <v>855</v>
      </c>
      <c r="AG157" s="700" t="s">
        <v>452</v>
      </c>
      <c r="AH157" s="108" t="s">
        <v>165</v>
      </c>
      <c r="AI157" s="785" t="s">
        <v>513</v>
      </c>
      <c r="AJ157" s="516" t="s">
        <v>856</v>
      </c>
      <c r="AK157" s="568">
        <v>3304990000</v>
      </c>
      <c r="AL157" s="551"/>
      <c r="AM157" s="610" t="s">
        <v>857</v>
      </c>
      <c r="AN157" s="611" t="s">
        <v>858</v>
      </c>
      <c r="AO157" s="611" t="s">
        <v>859</v>
      </c>
      <c r="AP157" s="612" t="s">
        <v>860</v>
      </c>
      <c r="AQ157" s="617" t="s">
        <v>861</v>
      </c>
      <c r="AR157" s="619" t="s">
        <v>340</v>
      </c>
      <c r="AS157" s="615"/>
      <c r="AU157" s="511">
        <v>12</v>
      </c>
      <c r="AV157" s="511" t="s">
        <v>366</v>
      </c>
      <c r="AW157" s="514">
        <f>F157/AU157</f>
        <v>0</v>
      </c>
      <c r="AX157" s="512">
        <f>98*63*32/1000000000*1.05</f>
        <v>2.0744639999999999E-4</v>
      </c>
      <c r="AY157" s="507">
        <f t="shared" si="61"/>
        <v>0</v>
      </c>
      <c r="AZ157" s="511">
        <v>0.2</v>
      </c>
      <c r="BA157" s="511">
        <v>0.14000000000000001</v>
      </c>
      <c r="BB157" s="511">
        <v>0.1</v>
      </c>
      <c r="BC157" s="515">
        <f>BB157*BA157*AZ157*AW157</f>
        <v>0</v>
      </c>
      <c r="BD157" s="189" t="s">
        <v>660</v>
      </c>
      <c r="BF157" s="447"/>
      <c r="BG157" s="442" t="s">
        <v>516</v>
      </c>
      <c r="BH157" s="442" t="s">
        <v>517</v>
      </c>
    </row>
    <row r="158" spans="1:72" s="3" customFormat="1" ht="19.5" customHeight="1">
      <c r="A158" s="116">
        <v>4627101822940</v>
      </c>
      <c r="B158" s="108">
        <v>1115</v>
      </c>
      <c r="C158" s="251" t="s">
        <v>862</v>
      </c>
      <c r="D158" s="826"/>
      <c r="E158" s="110" t="s">
        <v>401</v>
      </c>
      <c r="F158" s="248"/>
      <c r="G158" s="111"/>
      <c r="H158" s="111"/>
      <c r="I158" s="238"/>
      <c r="J158" s="238">
        <v>360</v>
      </c>
      <c r="K158" s="104">
        <f>F158*J158</f>
        <v>0</v>
      </c>
      <c r="L158" s="339">
        <f t="shared" si="62"/>
        <v>378</v>
      </c>
      <c r="M158" s="104">
        <f>F158*L158</f>
        <v>0</v>
      </c>
      <c r="N158" s="339">
        <f t="shared" si="63"/>
        <v>396</v>
      </c>
      <c r="O158" s="104">
        <f>F158*N158</f>
        <v>0</v>
      </c>
      <c r="P158" s="339">
        <f t="shared" si="64"/>
        <v>414</v>
      </c>
      <c r="Q158" s="104">
        <f>F158*P158</f>
        <v>0</v>
      </c>
      <c r="R158" s="339">
        <f t="shared" si="65"/>
        <v>450</v>
      </c>
      <c r="S158" s="104">
        <f>F158*R158</f>
        <v>0</v>
      </c>
      <c r="T158" s="105">
        <v>85</v>
      </c>
      <c r="U158" s="105">
        <f t="shared" si="66"/>
        <v>0</v>
      </c>
      <c r="V158" s="106"/>
      <c r="W158" s="301">
        <v>680</v>
      </c>
      <c r="X158" s="446"/>
      <c r="Y158" s="567">
        <v>12</v>
      </c>
      <c r="Z158" s="189">
        <v>3</v>
      </c>
      <c r="AA158" s="541" t="s">
        <v>511</v>
      </c>
      <c r="AB158" s="537">
        <v>44726</v>
      </c>
      <c r="AC158" s="537">
        <v>47277</v>
      </c>
      <c r="AD158" s="718" t="s">
        <v>512</v>
      </c>
      <c r="AE158" s="719" t="s">
        <v>67</v>
      </c>
      <c r="AF158" s="700" t="s">
        <v>855</v>
      </c>
      <c r="AG158" s="700" t="s">
        <v>452</v>
      </c>
      <c r="AH158" s="108" t="s">
        <v>402</v>
      </c>
      <c r="AI158" s="786" t="s">
        <v>863</v>
      </c>
      <c r="AJ158" s="511" t="s">
        <v>864</v>
      </c>
      <c r="AK158" s="568">
        <v>3304990000</v>
      </c>
      <c r="AL158" s="551"/>
      <c r="AM158" s="610" t="s">
        <v>865</v>
      </c>
      <c r="AN158" s="611" t="s">
        <v>866</v>
      </c>
      <c r="AO158" s="611" t="s">
        <v>859</v>
      </c>
      <c r="AP158" s="616" t="s">
        <v>867</v>
      </c>
      <c r="AQ158" s="617" t="s">
        <v>868</v>
      </c>
      <c r="AR158" s="621"/>
      <c r="AS158" s="618"/>
      <c r="AU158" s="511"/>
      <c r="AV158" s="511"/>
      <c r="AW158" s="511"/>
      <c r="AX158" s="512">
        <f>137*39*39/1000000000</f>
        <v>2.0837699999999999E-4</v>
      </c>
      <c r="AY158" s="507">
        <f t="shared" si="61"/>
        <v>0</v>
      </c>
      <c r="AZ158" s="511">
        <v>10</v>
      </c>
      <c r="BA158" s="511">
        <v>14</v>
      </c>
      <c r="BB158" s="511">
        <v>20</v>
      </c>
      <c r="BC158" s="189"/>
      <c r="BD158" s="189" t="s">
        <v>264</v>
      </c>
      <c r="BF158" s="447"/>
      <c r="BG158" s="442" t="s">
        <v>406</v>
      </c>
      <c r="BH158" s="442" t="s">
        <v>407</v>
      </c>
    </row>
    <row r="159" spans="1:72" s="3" customFormat="1" ht="19.5" customHeight="1">
      <c r="A159" s="116">
        <v>4627101829727</v>
      </c>
      <c r="B159" s="108">
        <v>3271</v>
      </c>
      <c r="C159" s="251" t="s">
        <v>869</v>
      </c>
      <c r="D159" s="826"/>
      <c r="E159" s="110" t="s">
        <v>208</v>
      </c>
      <c r="F159" s="248"/>
      <c r="G159" s="111"/>
      <c r="H159" s="111"/>
      <c r="I159" s="238"/>
      <c r="J159" s="238">
        <v>270</v>
      </c>
      <c r="K159" s="104">
        <f>J159*F159</f>
        <v>0</v>
      </c>
      <c r="L159" s="339">
        <f t="shared" si="62"/>
        <v>283.5</v>
      </c>
      <c r="M159" s="104">
        <f>L159*F159</f>
        <v>0</v>
      </c>
      <c r="N159" s="339">
        <f t="shared" si="63"/>
        <v>297</v>
      </c>
      <c r="O159" s="104">
        <f>N159*F159</f>
        <v>0</v>
      </c>
      <c r="P159" s="339">
        <f t="shared" si="64"/>
        <v>310.5</v>
      </c>
      <c r="Q159" s="104">
        <f>P159*F159</f>
        <v>0</v>
      </c>
      <c r="R159" s="339">
        <f t="shared" si="65"/>
        <v>337.5</v>
      </c>
      <c r="S159" s="104">
        <f>R159*F159</f>
        <v>0</v>
      </c>
      <c r="T159" s="105">
        <v>45</v>
      </c>
      <c r="U159" s="105">
        <f t="shared" si="66"/>
        <v>0</v>
      </c>
      <c r="V159" s="106"/>
      <c r="W159" s="301">
        <v>510</v>
      </c>
      <c r="X159" s="446"/>
      <c r="Y159" s="567">
        <v>12</v>
      </c>
      <c r="Z159" s="189">
        <v>3</v>
      </c>
      <c r="AA159" s="541" t="s">
        <v>511</v>
      </c>
      <c r="AB159" s="537">
        <v>44726</v>
      </c>
      <c r="AC159" s="537">
        <v>47277</v>
      </c>
      <c r="AD159" s="718" t="s">
        <v>512</v>
      </c>
      <c r="AE159" s="719" t="s">
        <v>67</v>
      </c>
      <c r="AF159" s="700" t="s">
        <v>855</v>
      </c>
      <c r="AG159" s="700" t="s">
        <v>452</v>
      </c>
      <c r="AH159" s="108" t="s">
        <v>393</v>
      </c>
      <c r="AI159" s="785"/>
      <c r="AJ159" s="511"/>
      <c r="AK159" s="568">
        <v>3304990000</v>
      </c>
      <c r="AL159" s="551"/>
      <c r="AM159" s="610" t="s">
        <v>870</v>
      </c>
      <c r="AN159" s="611" t="s">
        <v>871</v>
      </c>
      <c r="AO159" s="611" t="s">
        <v>872</v>
      </c>
      <c r="AP159" s="616" t="s">
        <v>873</v>
      </c>
      <c r="AQ159" s="617" t="s">
        <v>868</v>
      </c>
      <c r="AR159" s="621"/>
      <c r="AS159" s="618"/>
      <c r="AU159" s="511"/>
      <c r="AV159" s="511"/>
      <c r="AW159" s="511"/>
      <c r="AX159" s="512"/>
      <c r="AY159" s="507">
        <f t="shared" si="61"/>
        <v>0</v>
      </c>
      <c r="AZ159" s="511"/>
      <c r="BA159" s="511"/>
      <c r="BB159" s="511"/>
      <c r="BC159" s="189"/>
      <c r="BD159" s="189"/>
      <c r="BF159" s="447"/>
      <c r="BG159" s="442"/>
      <c r="BH159" s="442"/>
    </row>
    <row r="160" spans="1:72" s="3" customFormat="1" ht="19.5" customHeight="1">
      <c r="A160" s="116">
        <v>4627101823961</v>
      </c>
      <c r="B160" s="108">
        <v>2217</v>
      </c>
      <c r="C160" s="251" t="s">
        <v>874</v>
      </c>
      <c r="D160" s="826"/>
      <c r="E160" s="110" t="s">
        <v>222</v>
      </c>
      <c r="F160" s="248"/>
      <c r="G160" s="111"/>
      <c r="H160" s="111"/>
      <c r="I160" s="238"/>
      <c r="J160" s="238">
        <v>155</v>
      </c>
      <c r="K160" s="104">
        <f>F160*J160</f>
        <v>0</v>
      </c>
      <c r="L160" s="339">
        <f t="shared" si="62"/>
        <v>162.75</v>
      </c>
      <c r="M160" s="104">
        <f>F160*L160</f>
        <v>0</v>
      </c>
      <c r="N160" s="339">
        <f t="shared" si="63"/>
        <v>170.5</v>
      </c>
      <c r="O160" s="104">
        <f>F160*N160</f>
        <v>0</v>
      </c>
      <c r="P160" s="339">
        <f t="shared" si="64"/>
        <v>178.25</v>
      </c>
      <c r="Q160" s="104">
        <f>F160*P160</f>
        <v>0</v>
      </c>
      <c r="R160" s="339">
        <f t="shared" si="65"/>
        <v>193.75</v>
      </c>
      <c r="S160" s="104">
        <f>F160*R160</f>
        <v>0</v>
      </c>
      <c r="T160" s="105">
        <v>20</v>
      </c>
      <c r="U160" s="105">
        <f t="shared" si="66"/>
        <v>0</v>
      </c>
      <c r="V160" s="106"/>
      <c r="W160" s="301">
        <v>290</v>
      </c>
      <c r="X160" s="446"/>
      <c r="Y160" s="567">
        <v>12</v>
      </c>
      <c r="Z160" s="189">
        <v>3</v>
      </c>
      <c r="AA160" s="541" t="s">
        <v>511</v>
      </c>
      <c r="AB160" s="537">
        <v>44726</v>
      </c>
      <c r="AC160" s="537">
        <v>47277</v>
      </c>
      <c r="AD160" s="718" t="s">
        <v>512</v>
      </c>
      <c r="AE160" s="719" t="s">
        <v>67</v>
      </c>
      <c r="AF160" s="700" t="s">
        <v>855</v>
      </c>
      <c r="AG160" s="700" t="s">
        <v>452</v>
      </c>
      <c r="AH160" s="108" t="s">
        <v>875</v>
      </c>
      <c r="AI160" s="707" t="s">
        <v>876</v>
      </c>
      <c r="AJ160" s="189"/>
      <c r="AK160" s="568">
        <v>3304990000</v>
      </c>
      <c r="AL160" s="551"/>
      <c r="AM160" s="610" t="s">
        <v>865</v>
      </c>
      <c r="AN160" s="611" t="s">
        <v>866</v>
      </c>
      <c r="AO160" s="611" t="s">
        <v>859</v>
      </c>
      <c r="AP160" s="616" t="s">
        <v>877</v>
      </c>
      <c r="AQ160" s="617" t="s">
        <v>868</v>
      </c>
      <c r="AR160" s="621"/>
      <c r="AS160" s="618"/>
      <c r="AU160" s="189"/>
      <c r="AV160" s="189"/>
      <c r="AW160" s="189"/>
      <c r="AX160" s="522">
        <f>86*25*25/1000000000</f>
        <v>5.3749999999999999E-5</v>
      </c>
      <c r="AY160" s="507">
        <f t="shared" si="61"/>
        <v>0</v>
      </c>
      <c r="AZ160" s="189"/>
      <c r="BA160" s="189"/>
      <c r="BB160" s="189"/>
      <c r="BC160" s="189"/>
      <c r="BD160" s="189" t="s">
        <v>660</v>
      </c>
      <c r="BF160" s="447"/>
      <c r="BG160" s="442"/>
      <c r="BH160" s="442"/>
    </row>
    <row r="161" spans="1:62" s="3" customFormat="1" ht="19.5" customHeight="1">
      <c r="A161" s="116">
        <v>4627101822988</v>
      </c>
      <c r="B161" s="108">
        <v>1813</v>
      </c>
      <c r="C161" s="251" t="s">
        <v>878</v>
      </c>
      <c r="D161" s="826"/>
      <c r="E161" s="110" t="s">
        <v>879</v>
      </c>
      <c r="F161" s="248"/>
      <c r="G161" s="111"/>
      <c r="H161" s="111"/>
      <c r="I161" s="238"/>
      <c r="J161" s="238">
        <v>180</v>
      </c>
      <c r="K161" s="104">
        <f>F161*J161</f>
        <v>0</v>
      </c>
      <c r="L161" s="339">
        <f t="shared" si="62"/>
        <v>189</v>
      </c>
      <c r="M161" s="104">
        <f>F161*L161</f>
        <v>0</v>
      </c>
      <c r="N161" s="339">
        <f t="shared" si="63"/>
        <v>198</v>
      </c>
      <c r="O161" s="104">
        <f>F161*N161</f>
        <v>0</v>
      </c>
      <c r="P161" s="339">
        <f t="shared" si="64"/>
        <v>207</v>
      </c>
      <c r="Q161" s="104">
        <f>F161*P161</f>
        <v>0</v>
      </c>
      <c r="R161" s="339">
        <f t="shared" si="65"/>
        <v>225</v>
      </c>
      <c r="S161" s="104">
        <f>F161*R161</f>
        <v>0</v>
      </c>
      <c r="T161" s="105">
        <v>75</v>
      </c>
      <c r="U161" s="105">
        <f t="shared" si="66"/>
        <v>0</v>
      </c>
      <c r="V161" s="106"/>
      <c r="W161" s="301">
        <v>340</v>
      </c>
      <c r="X161" s="446"/>
      <c r="Y161" s="567">
        <v>12</v>
      </c>
      <c r="Z161" s="189">
        <v>3</v>
      </c>
      <c r="AA161" s="541" t="s">
        <v>123</v>
      </c>
      <c r="AB161" s="537">
        <v>44193</v>
      </c>
      <c r="AC161" s="537">
        <v>46018</v>
      </c>
      <c r="AD161" s="769" t="s">
        <v>124</v>
      </c>
      <c r="AE161" s="719" t="s">
        <v>67</v>
      </c>
      <c r="AF161" s="700" t="s">
        <v>880</v>
      </c>
      <c r="AG161" s="700" t="s">
        <v>452</v>
      </c>
      <c r="AH161" s="108" t="s">
        <v>881</v>
      </c>
      <c r="AI161" s="707" t="s">
        <v>882</v>
      </c>
      <c r="AJ161" s="189"/>
      <c r="AK161" s="568">
        <v>3401110001</v>
      </c>
      <c r="AL161" s="551"/>
      <c r="AM161" s="610" t="s">
        <v>883</v>
      </c>
      <c r="AN161" s="611" t="s">
        <v>884</v>
      </c>
      <c r="AO161" s="611" t="s">
        <v>885</v>
      </c>
      <c r="AP161" s="616" t="s">
        <v>886</v>
      </c>
      <c r="AQ161" s="617" t="s">
        <v>887</v>
      </c>
      <c r="AR161" s="621"/>
      <c r="AS161" s="618"/>
      <c r="AU161" s="189"/>
      <c r="AV161" s="189"/>
      <c r="AW161" s="189"/>
      <c r="AX161" s="512">
        <f>27*64*64/1000000000</f>
        <v>1.10592E-4</v>
      </c>
      <c r="AY161" s="507">
        <f t="shared" si="61"/>
        <v>0</v>
      </c>
      <c r="AZ161" s="189"/>
      <c r="BA161" s="189"/>
      <c r="BB161" s="189"/>
      <c r="BC161" s="189"/>
      <c r="BD161" s="189" t="s">
        <v>315</v>
      </c>
      <c r="BF161" s="447"/>
      <c r="BG161" s="442"/>
      <c r="BH161" s="442"/>
    </row>
    <row r="162" spans="1:62" s="3" customFormat="1" ht="19.5" customHeight="1">
      <c r="A162" s="116">
        <v>4627101826931</v>
      </c>
      <c r="B162" s="108">
        <v>2556</v>
      </c>
      <c r="C162" s="251" t="s">
        <v>888</v>
      </c>
      <c r="D162" s="826"/>
      <c r="E162" s="110" t="s">
        <v>420</v>
      </c>
      <c r="F162" s="248"/>
      <c r="G162" s="111"/>
      <c r="H162" s="111"/>
      <c r="I162" s="238"/>
      <c r="J162" s="238">
        <v>280</v>
      </c>
      <c r="K162" s="104">
        <f>J162*F162</f>
        <v>0</v>
      </c>
      <c r="L162" s="339">
        <f t="shared" si="62"/>
        <v>294</v>
      </c>
      <c r="M162" s="104">
        <f>L162*F162</f>
        <v>0</v>
      </c>
      <c r="N162" s="339">
        <f t="shared" si="63"/>
        <v>308</v>
      </c>
      <c r="O162" s="104">
        <f>N162*F162</f>
        <v>0</v>
      </c>
      <c r="P162" s="339">
        <f t="shared" si="64"/>
        <v>322</v>
      </c>
      <c r="Q162" s="104">
        <f>P162*F162</f>
        <v>0</v>
      </c>
      <c r="R162" s="339">
        <f t="shared" si="65"/>
        <v>350</v>
      </c>
      <c r="S162" s="104">
        <f>R162*F162</f>
        <v>0</v>
      </c>
      <c r="T162" s="105">
        <v>80</v>
      </c>
      <c r="U162" s="105">
        <f t="shared" si="66"/>
        <v>0</v>
      </c>
      <c r="V162" s="106"/>
      <c r="W162" s="301">
        <v>530</v>
      </c>
      <c r="X162" s="446"/>
      <c r="Y162" s="567">
        <v>12</v>
      </c>
      <c r="Z162" s="189">
        <v>3</v>
      </c>
      <c r="AA162" s="541" t="s">
        <v>691</v>
      </c>
      <c r="AB162" s="537">
        <v>45135</v>
      </c>
      <c r="AC162" s="537">
        <v>47691</v>
      </c>
      <c r="AD162" s="717" t="s">
        <v>889</v>
      </c>
      <c r="AE162" s="719" t="s">
        <v>67</v>
      </c>
      <c r="AF162" s="700" t="s">
        <v>855</v>
      </c>
      <c r="AG162" s="700" t="s">
        <v>452</v>
      </c>
      <c r="AH162" s="108" t="s">
        <v>577</v>
      </c>
      <c r="AI162" s="786" t="s">
        <v>790</v>
      </c>
      <c r="AJ162" s="189"/>
      <c r="AK162" s="568">
        <v>3304990000</v>
      </c>
      <c r="AL162" s="551"/>
      <c r="AM162" s="610" t="s">
        <v>890</v>
      </c>
      <c r="AN162" s="611" t="s">
        <v>891</v>
      </c>
      <c r="AO162" s="611" t="s">
        <v>892</v>
      </c>
      <c r="AP162" s="616" t="s">
        <v>893</v>
      </c>
      <c r="AQ162" s="617" t="s">
        <v>894</v>
      </c>
      <c r="AR162" s="621"/>
      <c r="AS162" s="618"/>
      <c r="AU162" s="189"/>
      <c r="AV162" s="189"/>
      <c r="AW162" s="189"/>
      <c r="AX162" s="512">
        <f>107*33*33/1000000000</f>
        <v>1.16523E-4</v>
      </c>
      <c r="AY162" s="507">
        <f t="shared" si="61"/>
        <v>0</v>
      </c>
      <c r="AZ162" s="189"/>
      <c r="BA162" s="189"/>
      <c r="BB162" s="189"/>
      <c r="BC162" s="189"/>
      <c r="BD162" s="189" t="s">
        <v>264</v>
      </c>
      <c r="BF162" s="499" t="s">
        <v>679</v>
      </c>
      <c r="BG162" s="442" t="s">
        <v>680</v>
      </c>
      <c r="BH162" s="442" t="s">
        <v>407</v>
      </c>
    </row>
    <row r="163" spans="1:62" s="3" customFormat="1" ht="19.5" customHeight="1">
      <c r="A163" s="354" t="s">
        <v>895</v>
      </c>
      <c r="B163" s="108">
        <v>1897</v>
      </c>
      <c r="C163" s="251" t="s">
        <v>896</v>
      </c>
      <c r="D163" s="826"/>
      <c r="E163" s="110"/>
      <c r="F163" s="248"/>
      <c r="G163" s="111"/>
      <c r="H163" s="111"/>
      <c r="I163" s="238"/>
      <c r="J163" s="315">
        <v>80</v>
      </c>
      <c r="K163" s="104">
        <f>F163*J163</f>
        <v>0</v>
      </c>
      <c r="L163" s="339">
        <f t="shared" si="62"/>
        <v>84</v>
      </c>
      <c r="M163" s="104">
        <f>F163*L163</f>
        <v>0</v>
      </c>
      <c r="N163" s="339">
        <f t="shared" si="63"/>
        <v>88</v>
      </c>
      <c r="O163" s="104">
        <f>F163*N163</f>
        <v>0</v>
      </c>
      <c r="P163" s="339">
        <f t="shared" si="64"/>
        <v>92</v>
      </c>
      <c r="Q163" s="104">
        <f>F163*P163</f>
        <v>0</v>
      </c>
      <c r="R163" s="339">
        <f t="shared" si="65"/>
        <v>100</v>
      </c>
      <c r="S163" s="104">
        <f>F163*R163</f>
        <v>0</v>
      </c>
      <c r="T163" s="105">
        <v>35</v>
      </c>
      <c r="U163" s="105">
        <f t="shared" si="66"/>
        <v>0</v>
      </c>
      <c r="V163" s="106"/>
      <c r="W163" s="301">
        <v>150</v>
      </c>
      <c r="X163" s="446"/>
      <c r="Y163" s="567" t="s">
        <v>895</v>
      </c>
      <c r="Z163" s="189"/>
      <c r="AA163" s="541" t="s">
        <v>897</v>
      </c>
      <c r="AB163" s="535"/>
      <c r="AC163" s="535"/>
      <c r="AD163" s="713"/>
      <c r="AE163" s="719"/>
      <c r="AF163" s="700"/>
      <c r="AG163" s="700"/>
      <c r="AH163" s="100"/>
      <c r="AI163" s="707"/>
      <c r="AJ163" s="189"/>
      <c r="AK163" s="568"/>
      <c r="AL163" s="551"/>
      <c r="AM163" s="588"/>
      <c r="AN163" s="273"/>
      <c r="AO163" s="273"/>
      <c r="AP163" s="616"/>
      <c r="AQ163" s="627"/>
      <c r="AR163" s="621"/>
      <c r="AS163" s="618"/>
      <c r="AU163" s="189"/>
      <c r="AV163" s="189"/>
      <c r="AW163" s="189"/>
      <c r="AX163" s="521"/>
      <c r="AY163" s="507">
        <f t="shared" si="61"/>
        <v>0</v>
      </c>
      <c r="AZ163" s="189"/>
      <c r="BA163" s="189"/>
      <c r="BB163" s="189"/>
      <c r="BC163" s="189"/>
      <c r="BD163" s="189"/>
      <c r="BF163" s="447"/>
      <c r="BG163" s="442"/>
      <c r="BH163" s="442"/>
    </row>
    <row r="164" spans="1:62" s="3" customFormat="1" ht="19.5" customHeight="1">
      <c r="A164" s="354" t="s">
        <v>895</v>
      </c>
      <c r="B164" s="108">
        <v>1895</v>
      </c>
      <c r="C164" s="251" t="s">
        <v>898</v>
      </c>
      <c r="D164" s="826"/>
      <c r="E164" s="110"/>
      <c r="F164" s="248"/>
      <c r="G164" s="111"/>
      <c r="H164" s="111"/>
      <c r="I164" s="238"/>
      <c r="J164" s="315">
        <v>40</v>
      </c>
      <c r="K164" s="104">
        <f>F164*J164</f>
        <v>0</v>
      </c>
      <c r="L164" s="339">
        <f t="shared" si="62"/>
        <v>42</v>
      </c>
      <c r="M164" s="104">
        <f>F164*L164</f>
        <v>0</v>
      </c>
      <c r="N164" s="339">
        <f t="shared" si="63"/>
        <v>44</v>
      </c>
      <c r="O164" s="104">
        <f>F164*N164</f>
        <v>0</v>
      </c>
      <c r="P164" s="339">
        <f t="shared" si="64"/>
        <v>46</v>
      </c>
      <c r="Q164" s="104">
        <f>F164*P164</f>
        <v>0</v>
      </c>
      <c r="R164" s="339">
        <f t="shared" si="65"/>
        <v>50</v>
      </c>
      <c r="S164" s="104">
        <f>F164*R164</f>
        <v>0</v>
      </c>
      <c r="T164" s="105">
        <v>6.7</v>
      </c>
      <c r="U164" s="105">
        <f t="shared" si="66"/>
        <v>0</v>
      </c>
      <c r="V164" s="106"/>
      <c r="W164" s="301">
        <v>75</v>
      </c>
      <c r="X164" s="446"/>
      <c r="Y164" s="567" t="s">
        <v>895</v>
      </c>
      <c r="Z164" s="189"/>
      <c r="AA164" s="541" t="s">
        <v>897</v>
      </c>
      <c r="AB164" s="535"/>
      <c r="AC164" s="535"/>
      <c r="AD164" s="713"/>
      <c r="AE164" s="719"/>
      <c r="AF164" s="700"/>
      <c r="AG164" s="700"/>
      <c r="AH164" s="100"/>
      <c r="AI164" s="707"/>
      <c r="AJ164" s="189"/>
      <c r="AK164" s="568"/>
      <c r="AL164" s="551"/>
      <c r="AM164" s="588"/>
      <c r="AN164" s="273"/>
      <c r="AO164" s="273"/>
      <c r="AP164" s="616"/>
      <c r="AQ164" s="627"/>
      <c r="AR164" s="621"/>
      <c r="AS164" s="618"/>
      <c r="AU164" s="189"/>
      <c r="AV164" s="189"/>
      <c r="AW164" s="189"/>
      <c r="AX164" s="521"/>
      <c r="AY164" s="507">
        <f t="shared" si="61"/>
        <v>0</v>
      </c>
      <c r="AZ164" s="189"/>
      <c r="BA164" s="189"/>
      <c r="BB164" s="189"/>
      <c r="BC164" s="189"/>
      <c r="BD164" s="189"/>
      <c r="BF164" s="447"/>
      <c r="BG164" s="442"/>
      <c r="BH164" s="442"/>
    </row>
    <row r="165" spans="1:62" s="3" customFormat="1" ht="19.5" customHeight="1">
      <c r="A165" s="354" t="s">
        <v>895</v>
      </c>
      <c r="B165" s="329">
        <v>2005</v>
      </c>
      <c r="C165" s="355" t="s">
        <v>899</v>
      </c>
      <c r="D165" s="826"/>
      <c r="E165" s="219"/>
      <c r="F165" s="248"/>
      <c r="G165" s="111"/>
      <c r="H165" s="111"/>
      <c r="I165" s="238"/>
      <c r="J165" s="315">
        <v>1565</v>
      </c>
      <c r="K165" s="104">
        <f>F165*J165</f>
        <v>0</v>
      </c>
      <c r="L165" s="339">
        <f t="shared" si="62"/>
        <v>1643.25</v>
      </c>
      <c r="M165" s="104">
        <f>L165*F165</f>
        <v>0</v>
      </c>
      <c r="N165" s="339">
        <f t="shared" si="63"/>
        <v>1721.5</v>
      </c>
      <c r="O165" s="104">
        <f>N165*F165</f>
        <v>0</v>
      </c>
      <c r="P165" s="339">
        <f t="shared" si="64"/>
        <v>1799.75</v>
      </c>
      <c r="Q165" s="104">
        <f>P165*F165</f>
        <v>0</v>
      </c>
      <c r="R165" s="339">
        <f t="shared" si="65"/>
        <v>1956.25</v>
      </c>
      <c r="S165" s="104">
        <f>R165*F165</f>
        <v>0</v>
      </c>
      <c r="T165" s="105">
        <v>375</v>
      </c>
      <c r="U165" s="105">
        <f t="shared" si="66"/>
        <v>0</v>
      </c>
      <c r="V165" s="106"/>
      <c r="W165" s="301">
        <v>2970</v>
      </c>
      <c r="X165" s="446"/>
      <c r="Y165" s="567" t="s">
        <v>895</v>
      </c>
      <c r="Z165" s="189"/>
      <c r="AA165" s="541" t="s">
        <v>897</v>
      </c>
      <c r="AB165" s="535"/>
      <c r="AC165" s="535"/>
      <c r="AD165" s="713"/>
      <c r="AE165" s="719"/>
      <c r="AF165" s="700"/>
      <c r="AG165" s="700"/>
      <c r="AH165" s="100"/>
      <c r="AI165" s="707"/>
      <c r="AJ165" s="189"/>
      <c r="AK165" s="568"/>
      <c r="AL165" s="551"/>
      <c r="AM165" s="681"/>
      <c r="AN165" s="682"/>
      <c r="AO165" s="682"/>
      <c r="AP165" s="616"/>
      <c r="AQ165" s="627"/>
      <c r="AR165" s="621"/>
      <c r="AS165" s="618"/>
      <c r="AU165" s="189"/>
      <c r="AV165" s="189"/>
      <c r="AW165" s="189"/>
      <c r="AX165" s="521"/>
      <c r="AY165" s="507">
        <f t="shared" si="61"/>
        <v>0</v>
      </c>
      <c r="AZ165" s="189"/>
      <c r="BA165" s="189"/>
      <c r="BB165" s="189"/>
      <c r="BC165" s="189"/>
      <c r="BD165" s="189"/>
      <c r="BF165" s="447"/>
      <c r="BG165" s="442"/>
      <c r="BH165" s="442"/>
    </row>
    <row r="166" spans="1:62" ht="24.75" customHeight="1">
      <c r="A166" s="485" t="s">
        <v>156</v>
      </c>
      <c r="B166" s="333"/>
      <c r="C166" s="271" t="s">
        <v>900</v>
      </c>
      <c r="D166" s="827"/>
      <c r="E166" s="270"/>
      <c r="F166" s="491"/>
      <c r="G166" s="289"/>
      <c r="H166" s="289"/>
      <c r="I166" s="356"/>
      <c r="J166" s="357"/>
      <c r="K166" s="488">
        <f>K167+K168+K169+K170+K171+K172+K173+K174+K175+K176+K177+K178+K179+K182+K183+K185+K186+K187+K180+K188+K181+K184</f>
        <v>0</v>
      </c>
      <c r="L166" s="489"/>
      <c r="M166" s="488">
        <f>M167+M168+M169+M170+M171+M172+M173+M174+M175+M176+M177+M178+M179+M182+M183+M185+M186+M187+M180+M188+M181+M184</f>
        <v>0</v>
      </c>
      <c r="N166" s="489"/>
      <c r="O166" s="488">
        <f>O167+O168+O169+O170+O171+O172+O173+O174+O175+O176+O177+O178+O179+O182+O183+O185+O186+O187+O180+O188+O181+O184</f>
        <v>0</v>
      </c>
      <c r="P166" s="489"/>
      <c r="Q166" s="488">
        <f>Q167+Q168+Q169+Q170+Q171+Q172+Q173+Q174+Q175+Q176+Q177+Q178+Q179+Q182+Q183+Q185+Q186+Q187+Q180+Q188+Q181+Q184</f>
        <v>0</v>
      </c>
      <c r="R166" s="489"/>
      <c r="S166" s="488">
        <f>S167+S168+S169+S170+S171+S172+S173+S174+S175+S176+S177+S178+S179+S182+S183+S185+S186+S187+S180+S188+S181+S184</f>
        <v>0</v>
      </c>
      <c r="T166" s="313"/>
      <c r="U166" s="313">
        <f>U167+U168+U169+U170+U171+U172+U173+U174+U175+U176+U177+U178+U179+U182+U183+U185+U186+U187</f>
        <v>0</v>
      </c>
      <c r="V166" s="293"/>
      <c r="W166" s="293"/>
      <c r="Y166" s="562"/>
      <c r="Z166" s="293"/>
      <c r="AA166" s="772"/>
      <c r="AB166" s="543"/>
      <c r="AC166" s="543"/>
      <c r="AD166" s="716"/>
      <c r="AE166" s="716"/>
      <c r="AF166" s="701"/>
      <c r="AG166" s="701"/>
      <c r="AH166" s="546"/>
      <c r="AI166" s="675"/>
      <c r="AJ166" s="293"/>
      <c r="AK166" s="563"/>
      <c r="AL166" s="554"/>
      <c r="AM166" s="562"/>
      <c r="AN166" s="293"/>
      <c r="AO166" s="293"/>
      <c r="AP166" s="293"/>
      <c r="AQ166" s="293"/>
      <c r="AR166" s="293"/>
      <c r="AS166" s="563"/>
      <c r="AU166" s="293"/>
      <c r="AV166" s="293"/>
      <c r="AW166" s="293"/>
      <c r="AX166" s="293"/>
      <c r="AY166" s="293"/>
      <c r="AZ166" s="293"/>
      <c r="BA166" s="293"/>
      <c r="BB166" s="293"/>
      <c r="BC166" s="293"/>
      <c r="BD166" s="293"/>
      <c r="BF166" s="445"/>
    </row>
    <row r="167" spans="1:62" ht="22.5" customHeight="1">
      <c r="A167" s="354">
        <v>4620748862164</v>
      </c>
      <c r="B167" s="100">
        <v>1116</v>
      </c>
      <c r="C167" s="251" t="s">
        <v>901</v>
      </c>
      <c r="D167" s="826"/>
      <c r="E167" s="110" t="s">
        <v>902</v>
      </c>
      <c r="F167" s="249"/>
      <c r="G167" s="240"/>
      <c r="H167" s="190"/>
      <c r="I167" s="238"/>
      <c r="J167" s="238">
        <v>135</v>
      </c>
      <c r="K167" s="104">
        <f t="shared" ref="K167:K187" si="67">J167*F167</f>
        <v>0</v>
      </c>
      <c r="L167" s="238">
        <f>J167+J167*5%</f>
        <v>141.75</v>
      </c>
      <c r="M167" s="104">
        <f t="shared" ref="M167:M178" si="68">F167*L167</f>
        <v>0</v>
      </c>
      <c r="N167" s="238">
        <f>J167+J167*10%</f>
        <v>148.5</v>
      </c>
      <c r="O167" s="104">
        <f t="shared" ref="O167:O178" si="69">F167*N167</f>
        <v>0</v>
      </c>
      <c r="P167" s="238">
        <f>J167+J167*15%</f>
        <v>155.25</v>
      </c>
      <c r="Q167" s="104">
        <f t="shared" ref="Q167:Q178" si="70">F167*P167</f>
        <v>0</v>
      </c>
      <c r="R167" s="238">
        <f>J167+J167*25%</f>
        <v>168.75</v>
      </c>
      <c r="S167" s="104">
        <f t="shared" ref="S167:S178" si="71">F167*R167</f>
        <v>0</v>
      </c>
      <c r="T167" s="105">
        <v>115</v>
      </c>
      <c r="U167" s="105">
        <f t="shared" ref="U167:U170" si="72">T167*F167</f>
        <v>0</v>
      </c>
      <c r="V167" s="106"/>
      <c r="W167" s="301">
        <v>255</v>
      </c>
      <c r="Y167" s="567">
        <v>12</v>
      </c>
      <c r="Z167" s="189"/>
      <c r="AA167" s="541" t="s">
        <v>123</v>
      </c>
      <c r="AB167" s="537">
        <v>44193</v>
      </c>
      <c r="AC167" s="537">
        <v>46018</v>
      </c>
      <c r="AD167" s="769" t="s">
        <v>124</v>
      </c>
      <c r="AE167" s="718" t="s">
        <v>67</v>
      </c>
      <c r="AF167" s="695" t="s">
        <v>903</v>
      </c>
      <c r="AG167" s="695" t="s">
        <v>904</v>
      </c>
      <c r="AH167" s="547" t="s">
        <v>905</v>
      </c>
      <c r="AI167" s="483" t="s">
        <v>906</v>
      </c>
      <c r="AJ167" s="547" t="s">
        <v>907</v>
      </c>
      <c r="AK167" s="568">
        <v>3401110001</v>
      </c>
      <c r="AM167" s="588" t="s">
        <v>908</v>
      </c>
      <c r="AN167" s="273" t="s">
        <v>909</v>
      </c>
      <c r="AO167" s="273" t="s">
        <v>885</v>
      </c>
      <c r="AP167" s="616" t="s">
        <v>910</v>
      </c>
      <c r="AQ167" s="637" t="s">
        <v>911</v>
      </c>
      <c r="AR167" s="621"/>
      <c r="AS167" s="618"/>
      <c r="AU167" s="189"/>
      <c r="AV167" s="189"/>
      <c r="AW167" s="189"/>
      <c r="AX167" s="512">
        <f>58*93*25/1000000000</f>
        <v>1.3485E-4</v>
      </c>
      <c r="AY167" s="507">
        <f t="shared" ref="AY167:AY180" si="73">AX167*F167</f>
        <v>0</v>
      </c>
      <c r="AZ167" s="189"/>
      <c r="BA167" s="189"/>
      <c r="BB167" s="189"/>
      <c r="BC167" s="517"/>
      <c r="BD167" s="189" t="s">
        <v>315</v>
      </c>
      <c r="BF167" s="445"/>
      <c r="BG167" s="442"/>
      <c r="BH167" s="442"/>
    </row>
    <row r="168" spans="1:62" ht="22.5" customHeight="1">
      <c r="A168" s="116">
        <v>4620748862171</v>
      </c>
      <c r="B168" s="100">
        <v>1117</v>
      </c>
      <c r="C168" s="251" t="s">
        <v>912</v>
      </c>
      <c r="D168" s="826"/>
      <c r="E168" s="110" t="s">
        <v>287</v>
      </c>
      <c r="F168" s="249"/>
      <c r="G168" s="240"/>
      <c r="H168" s="190"/>
      <c r="I168" s="238"/>
      <c r="J168" s="238">
        <v>175</v>
      </c>
      <c r="K168" s="104">
        <f t="shared" si="67"/>
        <v>0</v>
      </c>
      <c r="L168" s="238">
        <f t="shared" ref="L168:L170" si="74">J168+J168*5%</f>
        <v>183.75</v>
      </c>
      <c r="M168" s="104">
        <f t="shared" si="68"/>
        <v>0</v>
      </c>
      <c r="N168" s="238">
        <f t="shared" ref="N168:N188" si="75">J168+J168*10%</f>
        <v>192.5</v>
      </c>
      <c r="O168" s="104">
        <f t="shared" si="69"/>
        <v>0</v>
      </c>
      <c r="P168" s="238">
        <f t="shared" ref="P168:P188" si="76">J168+J168*15%</f>
        <v>201.25</v>
      </c>
      <c r="Q168" s="104">
        <f t="shared" si="70"/>
        <v>0</v>
      </c>
      <c r="R168" s="238">
        <f t="shared" ref="R168:R188" si="77">J168+J168*25%</f>
        <v>218.75</v>
      </c>
      <c r="S168" s="104">
        <f t="shared" si="71"/>
        <v>0</v>
      </c>
      <c r="T168" s="105">
        <v>122</v>
      </c>
      <c r="U168" s="105">
        <f t="shared" si="72"/>
        <v>0</v>
      </c>
      <c r="V168" s="106"/>
      <c r="W168" s="301">
        <v>330</v>
      </c>
      <c r="Y168" s="567">
        <v>18</v>
      </c>
      <c r="Z168" s="189">
        <v>6</v>
      </c>
      <c r="AA168" s="541" t="s">
        <v>913</v>
      </c>
      <c r="AB168" s="537">
        <v>44727</v>
      </c>
      <c r="AC168" s="537">
        <v>47278</v>
      </c>
      <c r="AD168" s="717" t="s">
        <v>625</v>
      </c>
      <c r="AE168" s="718" t="s">
        <v>67</v>
      </c>
      <c r="AF168" s="695" t="s">
        <v>914</v>
      </c>
      <c r="AG168" s="695" t="s">
        <v>915</v>
      </c>
      <c r="AH168" s="548" t="s">
        <v>916</v>
      </c>
      <c r="AI168" s="483" t="s">
        <v>917</v>
      </c>
      <c r="AJ168" s="189"/>
      <c r="AK168" s="568">
        <v>3401300000</v>
      </c>
      <c r="AM168" s="588" t="s">
        <v>918</v>
      </c>
      <c r="AN168" s="273" t="s">
        <v>919</v>
      </c>
      <c r="AO168" s="273" t="s">
        <v>629</v>
      </c>
      <c r="AP168" s="612" t="s">
        <v>920</v>
      </c>
      <c r="AQ168" s="637" t="s">
        <v>921</v>
      </c>
      <c r="AR168" s="619" t="s">
        <v>340</v>
      </c>
      <c r="AS168" s="615"/>
      <c r="AU168" s="189"/>
      <c r="AV168" s="189"/>
      <c r="AW168" s="189"/>
      <c r="AX168" s="512">
        <f>146*51*29/1000000000</f>
        <v>2.1593400000000001E-4</v>
      </c>
      <c r="AY168" s="507">
        <f t="shared" si="73"/>
        <v>0</v>
      </c>
      <c r="AZ168" s="189"/>
      <c r="BA168" s="189"/>
      <c r="BB168" s="189"/>
      <c r="BC168" s="517"/>
      <c r="BD168" s="189" t="s">
        <v>264</v>
      </c>
      <c r="BF168" s="445"/>
      <c r="BG168" s="442" t="s">
        <v>853</v>
      </c>
      <c r="BH168" s="442" t="s">
        <v>922</v>
      </c>
    </row>
    <row r="169" spans="1:62" ht="22.5" customHeight="1">
      <c r="A169" s="116">
        <v>4620748862126</v>
      </c>
      <c r="B169" s="100">
        <v>1118</v>
      </c>
      <c r="C169" s="251" t="s">
        <v>923</v>
      </c>
      <c r="D169" s="826"/>
      <c r="E169" s="110" t="s">
        <v>304</v>
      </c>
      <c r="F169" s="249"/>
      <c r="G169" s="240"/>
      <c r="H169" s="190"/>
      <c r="I169" s="238"/>
      <c r="J169" s="238">
        <v>180</v>
      </c>
      <c r="K169" s="104">
        <f t="shared" si="67"/>
        <v>0</v>
      </c>
      <c r="L169" s="238">
        <f t="shared" si="74"/>
        <v>189</v>
      </c>
      <c r="M169" s="104">
        <f t="shared" si="68"/>
        <v>0</v>
      </c>
      <c r="N169" s="238">
        <f t="shared" si="75"/>
        <v>198</v>
      </c>
      <c r="O169" s="104">
        <f t="shared" si="69"/>
        <v>0</v>
      </c>
      <c r="P169" s="238">
        <f t="shared" si="76"/>
        <v>207</v>
      </c>
      <c r="Q169" s="104">
        <f t="shared" si="70"/>
        <v>0</v>
      </c>
      <c r="R169" s="238">
        <f t="shared" si="77"/>
        <v>225</v>
      </c>
      <c r="S169" s="104">
        <f t="shared" si="71"/>
        <v>0</v>
      </c>
      <c r="T169" s="105">
        <v>160</v>
      </c>
      <c r="U169" s="105">
        <f t="shared" si="72"/>
        <v>0</v>
      </c>
      <c r="V169" s="106"/>
      <c r="W169" s="301">
        <v>340</v>
      </c>
      <c r="Y169" s="567">
        <v>12</v>
      </c>
      <c r="Z169" s="189">
        <v>3</v>
      </c>
      <c r="AA169" s="775" t="s">
        <v>442</v>
      </c>
      <c r="AB169" s="538">
        <v>44553</v>
      </c>
      <c r="AC169" s="538">
        <v>46378</v>
      </c>
      <c r="AD169" s="719" t="s">
        <v>924</v>
      </c>
      <c r="AE169" s="718" t="s">
        <v>141</v>
      </c>
      <c r="AF169" s="695" t="s">
        <v>925</v>
      </c>
      <c r="AG169" s="695" t="s">
        <v>291</v>
      </c>
      <c r="AH169" s="548" t="s">
        <v>926</v>
      </c>
      <c r="AI169" s="674" t="s">
        <v>927</v>
      </c>
      <c r="AJ169" s="189"/>
      <c r="AK169" s="568">
        <v>3307900008</v>
      </c>
      <c r="AM169" s="588" t="s">
        <v>928</v>
      </c>
      <c r="AN169" s="273" t="s">
        <v>929</v>
      </c>
      <c r="AO169" s="273" t="s">
        <v>930</v>
      </c>
      <c r="AP169" s="616" t="s">
        <v>931</v>
      </c>
      <c r="AQ169" s="637" t="s">
        <v>932</v>
      </c>
      <c r="AR169" s="621"/>
      <c r="AS169" s="618"/>
      <c r="AU169" s="189"/>
      <c r="AV169" s="189"/>
      <c r="AW169" s="189"/>
      <c r="AX169" s="512">
        <f>136*51*34/1000000000</f>
        <v>2.3582400000000001E-4</v>
      </c>
      <c r="AY169" s="507">
        <f t="shared" si="73"/>
        <v>0</v>
      </c>
      <c r="AZ169" s="189"/>
      <c r="BA169" s="189"/>
      <c r="BB169" s="189"/>
      <c r="BC169" s="517"/>
      <c r="BD169" s="189" t="s">
        <v>315</v>
      </c>
      <c r="BF169" s="445"/>
      <c r="BG169" s="442"/>
      <c r="BH169" s="442"/>
      <c r="BI169" s="442" t="s">
        <v>318</v>
      </c>
      <c r="BJ169" s="21" t="s">
        <v>319</v>
      </c>
    </row>
    <row r="170" spans="1:62" ht="22.5" customHeight="1">
      <c r="A170" s="116">
        <v>4620748862102</v>
      </c>
      <c r="B170" s="100">
        <v>1119</v>
      </c>
      <c r="C170" s="251" t="s">
        <v>933</v>
      </c>
      <c r="D170" s="826"/>
      <c r="E170" s="110" t="s">
        <v>208</v>
      </c>
      <c r="F170" s="249"/>
      <c r="G170" s="240"/>
      <c r="H170" s="190"/>
      <c r="I170" s="238"/>
      <c r="J170" s="238">
        <v>250</v>
      </c>
      <c r="K170" s="104">
        <f t="shared" si="67"/>
        <v>0</v>
      </c>
      <c r="L170" s="238">
        <f t="shared" si="74"/>
        <v>262.5</v>
      </c>
      <c r="M170" s="104">
        <f t="shared" si="68"/>
        <v>0</v>
      </c>
      <c r="N170" s="238">
        <f t="shared" si="75"/>
        <v>275</v>
      </c>
      <c r="O170" s="104">
        <f t="shared" si="69"/>
        <v>0</v>
      </c>
      <c r="P170" s="238">
        <f t="shared" si="76"/>
        <v>287.5</v>
      </c>
      <c r="Q170" s="104">
        <f t="shared" si="70"/>
        <v>0</v>
      </c>
      <c r="R170" s="238">
        <f t="shared" si="77"/>
        <v>312.5</v>
      </c>
      <c r="S170" s="104">
        <f t="shared" si="71"/>
        <v>0</v>
      </c>
      <c r="T170" s="105">
        <v>45</v>
      </c>
      <c r="U170" s="105">
        <f t="shared" si="72"/>
        <v>0</v>
      </c>
      <c r="V170" s="106"/>
      <c r="W170" s="301">
        <v>475</v>
      </c>
      <c r="Y170" s="567">
        <v>12</v>
      </c>
      <c r="Z170" s="189">
        <v>3</v>
      </c>
      <c r="AA170" s="541" t="s">
        <v>934</v>
      </c>
      <c r="AB170" s="537">
        <v>43705</v>
      </c>
      <c r="AC170" s="537">
        <v>47278</v>
      </c>
      <c r="AD170" s="718" t="s">
        <v>935</v>
      </c>
      <c r="AE170" s="718" t="s">
        <v>67</v>
      </c>
      <c r="AF170" s="695"/>
      <c r="AG170" s="695" t="s">
        <v>936</v>
      </c>
      <c r="AH170" s="547" t="s">
        <v>393</v>
      </c>
      <c r="AI170" s="677" t="s">
        <v>730</v>
      </c>
      <c r="AJ170" s="189"/>
      <c r="AK170" s="568">
        <v>3304990000</v>
      </c>
      <c r="AM170" s="588" t="s">
        <v>937</v>
      </c>
      <c r="AN170" s="273" t="s">
        <v>938</v>
      </c>
      <c r="AO170" s="273" t="s">
        <v>939</v>
      </c>
      <c r="AP170" s="616" t="s">
        <v>940</v>
      </c>
      <c r="AQ170" s="637" t="s">
        <v>941</v>
      </c>
      <c r="AR170" s="621"/>
      <c r="AS170" s="618"/>
      <c r="AU170" s="189"/>
      <c r="AV170" s="189"/>
      <c r="AW170" s="189"/>
      <c r="AX170" s="512">
        <f>107*33*33/1000000000</f>
        <v>1.16523E-4</v>
      </c>
      <c r="AY170" s="507">
        <f t="shared" si="73"/>
        <v>0</v>
      </c>
      <c r="AZ170" s="189"/>
      <c r="BA170" s="189"/>
      <c r="BB170" s="189"/>
      <c r="BC170" s="517"/>
      <c r="BD170" s="189" t="s">
        <v>264</v>
      </c>
      <c r="BF170" s="499" t="s">
        <v>679</v>
      </c>
      <c r="BG170" s="442" t="s">
        <v>680</v>
      </c>
      <c r="BH170" s="442" t="s">
        <v>407</v>
      </c>
    </row>
    <row r="171" spans="1:62" ht="22.5" customHeight="1">
      <c r="A171" s="116">
        <v>4627186341244</v>
      </c>
      <c r="B171" s="100">
        <v>3702</v>
      </c>
      <c r="C171" s="251" t="s">
        <v>942</v>
      </c>
      <c r="D171" s="826"/>
      <c r="E171" s="110" t="s">
        <v>822</v>
      </c>
      <c r="F171" s="249"/>
      <c r="G171" s="240"/>
      <c r="H171" s="190"/>
      <c r="I171" s="238"/>
      <c r="J171" s="238">
        <v>400</v>
      </c>
      <c r="K171" s="104">
        <f t="shared" si="67"/>
        <v>0</v>
      </c>
      <c r="L171" s="238">
        <f t="shared" ref="L171:L188" si="78">J171+J171*5%</f>
        <v>420</v>
      </c>
      <c r="M171" s="104">
        <f t="shared" si="68"/>
        <v>0</v>
      </c>
      <c r="N171" s="238">
        <f t="shared" si="75"/>
        <v>440</v>
      </c>
      <c r="O171" s="104">
        <f t="shared" si="69"/>
        <v>0</v>
      </c>
      <c r="P171" s="238">
        <f t="shared" si="76"/>
        <v>460</v>
      </c>
      <c r="Q171" s="104">
        <f t="shared" si="70"/>
        <v>0</v>
      </c>
      <c r="R171" s="238">
        <f t="shared" si="77"/>
        <v>500</v>
      </c>
      <c r="S171" s="104">
        <f t="shared" si="71"/>
        <v>0</v>
      </c>
      <c r="T171" s="105">
        <v>85</v>
      </c>
      <c r="U171" s="105">
        <f t="shared" ref="U171:U188" si="79">T171*F171</f>
        <v>0</v>
      </c>
      <c r="V171" s="106"/>
      <c r="W171" s="301">
        <v>760</v>
      </c>
      <c r="Y171" s="567">
        <v>12</v>
      </c>
      <c r="Z171" s="189">
        <v>3</v>
      </c>
      <c r="AA171" s="541" t="s">
        <v>934</v>
      </c>
      <c r="AB171" s="537">
        <v>43705</v>
      </c>
      <c r="AC171" s="537">
        <v>47278</v>
      </c>
      <c r="AD171" s="718" t="s">
        <v>935</v>
      </c>
      <c r="AE171" s="718" t="s">
        <v>67</v>
      </c>
      <c r="AF171" s="695"/>
      <c r="AG171" s="695"/>
      <c r="AH171" s="547" t="s">
        <v>402</v>
      </c>
      <c r="AI171" s="677" t="s">
        <v>943</v>
      </c>
      <c r="AJ171" s="189"/>
      <c r="AK171" s="568">
        <v>3304990000</v>
      </c>
      <c r="AM171" s="588" t="s">
        <v>937</v>
      </c>
      <c r="AN171" s="273" t="s">
        <v>938</v>
      </c>
      <c r="AO171" s="273" t="s">
        <v>939</v>
      </c>
      <c r="AP171" s="616" t="s">
        <v>944</v>
      </c>
      <c r="AQ171" s="637" t="s">
        <v>941</v>
      </c>
      <c r="AR171" s="621"/>
      <c r="AS171" s="618"/>
      <c r="AU171" s="189"/>
      <c r="AV171" s="189"/>
      <c r="AW171" s="189"/>
      <c r="AX171" s="512">
        <f>125*37*37/1000000000</f>
        <v>1.71125E-4</v>
      </c>
      <c r="AY171" s="507">
        <f t="shared" si="73"/>
        <v>0</v>
      </c>
      <c r="AZ171" s="189"/>
      <c r="BA171" s="189"/>
      <c r="BB171" s="189"/>
      <c r="BC171" s="517"/>
      <c r="BD171" s="189" t="s">
        <v>264</v>
      </c>
      <c r="BG171" s="442" t="s">
        <v>945</v>
      </c>
      <c r="BH171" s="442" t="s">
        <v>407</v>
      </c>
    </row>
    <row r="172" spans="1:62" ht="22.5" customHeight="1">
      <c r="A172" s="116">
        <v>4620748862096</v>
      </c>
      <c r="B172" s="100">
        <v>1121</v>
      </c>
      <c r="C172" s="251" t="s">
        <v>946</v>
      </c>
      <c r="D172" s="826"/>
      <c r="E172" s="110" t="s">
        <v>208</v>
      </c>
      <c r="F172" s="249"/>
      <c r="G172" s="240"/>
      <c r="H172" s="190"/>
      <c r="I172" s="238"/>
      <c r="J172" s="238">
        <v>270</v>
      </c>
      <c r="K172" s="104">
        <f t="shared" si="67"/>
        <v>0</v>
      </c>
      <c r="L172" s="238">
        <f t="shared" si="78"/>
        <v>283.5</v>
      </c>
      <c r="M172" s="104">
        <f t="shared" si="68"/>
        <v>0</v>
      </c>
      <c r="N172" s="238">
        <f t="shared" si="75"/>
        <v>297</v>
      </c>
      <c r="O172" s="104">
        <f t="shared" si="69"/>
        <v>0</v>
      </c>
      <c r="P172" s="238">
        <f t="shared" si="76"/>
        <v>310.5</v>
      </c>
      <c r="Q172" s="104">
        <f t="shared" si="70"/>
        <v>0</v>
      </c>
      <c r="R172" s="238">
        <f t="shared" si="77"/>
        <v>337.5</v>
      </c>
      <c r="S172" s="104">
        <f t="shared" si="71"/>
        <v>0</v>
      </c>
      <c r="T172" s="105">
        <v>45</v>
      </c>
      <c r="U172" s="105">
        <f t="shared" si="79"/>
        <v>0</v>
      </c>
      <c r="V172" s="106"/>
      <c r="W172" s="301">
        <v>510</v>
      </c>
      <c r="Y172" s="567">
        <v>12</v>
      </c>
      <c r="Z172" s="189">
        <v>3</v>
      </c>
      <c r="AA172" s="541" t="s">
        <v>934</v>
      </c>
      <c r="AB172" s="537">
        <v>43705</v>
      </c>
      <c r="AC172" s="537">
        <v>47278</v>
      </c>
      <c r="AD172" s="718" t="s">
        <v>935</v>
      </c>
      <c r="AE172" s="718" t="s">
        <v>67</v>
      </c>
      <c r="AF172" s="695" t="s">
        <v>947</v>
      </c>
      <c r="AG172" s="695" t="s">
        <v>948</v>
      </c>
      <c r="AH172" s="547" t="s">
        <v>393</v>
      </c>
      <c r="AI172" s="677" t="s">
        <v>730</v>
      </c>
      <c r="AJ172" s="189"/>
      <c r="AK172" s="568">
        <v>3304990000</v>
      </c>
      <c r="AM172" s="588" t="s">
        <v>949</v>
      </c>
      <c r="AN172" s="273" t="s">
        <v>950</v>
      </c>
      <c r="AO172" s="273" t="s">
        <v>951</v>
      </c>
      <c r="AP172" s="616" t="s">
        <v>952</v>
      </c>
      <c r="AQ172" s="637" t="s">
        <v>953</v>
      </c>
      <c r="AR172" s="621"/>
      <c r="AS172" s="618"/>
      <c r="AU172" s="189"/>
      <c r="AV172" s="189"/>
      <c r="AW172" s="189"/>
      <c r="AX172" s="512">
        <f>107*33*33/1000000000</f>
        <v>1.16523E-4</v>
      </c>
      <c r="AY172" s="507">
        <f t="shared" si="73"/>
        <v>0</v>
      </c>
      <c r="AZ172" s="189"/>
      <c r="BA172" s="189"/>
      <c r="BB172" s="189"/>
      <c r="BC172" s="517"/>
      <c r="BD172" s="189" t="s">
        <v>264</v>
      </c>
      <c r="BF172" s="499" t="s">
        <v>679</v>
      </c>
      <c r="BG172" s="442" t="s">
        <v>680</v>
      </c>
      <c r="BH172" s="442" t="s">
        <v>407</v>
      </c>
    </row>
    <row r="173" spans="1:62" ht="22.5" customHeight="1">
      <c r="A173" s="116">
        <v>4627186341251</v>
      </c>
      <c r="B173" s="100">
        <v>3701</v>
      </c>
      <c r="C173" s="251" t="s">
        <v>954</v>
      </c>
      <c r="D173" s="826"/>
      <c r="E173" s="110" t="s">
        <v>822</v>
      </c>
      <c r="F173" s="249"/>
      <c r="G173" s="240"/>
      <c r="H173" s="190"/>
      <c r="I173" s="238"/>
      <c r="J173" s="275">
        <v>405</v>
      </c>
      <c r="K173" s="104">
        <f t="shared" si="67"/>
        <v>0</v>
      </c>
      <c r="L173" s="238">
        <f t="shared" si="78"/>
        <v>425.25</v>
      </c>
      <c r="M173" s="104">
        <f t="shared" si="68"/>
        <v>0</v>
      </c>
      <c r="N173" s="238">
        <f t="shared" si="75"/>
        <v>445.5</v>
      </c>
      <c r="O173" s="104">
        <f t="shared" si="69"/>
        <v>0</v>
      </c>
      <c r="P173" s="238">
        <f t="shared" si="76"/>
        <v>465.75</v>
      </c>
      <c r="Q173" s="104">
        <f t="shared" si="70"/>
        <v>0</v>
      </c>
      <c r="R173" s="238">
        <f t="shared" si="77"/>
        <v>506.25</v>
      </c>
      <c r="S173" s="104">
        <f t="shared" si="71"/>
        <v>0</v>
      </c>
      <c r="T173" s="105">
        <v>85</v>
      </c>
      <c r="U173" s="105">
        <f t="shared" si="79"/>
        <v>0</v>
      </c>
      <c r="V173" s="106"/>
      <c r="W173" s="301">
        <v>765</v>
      </c>
      <c r="Y173" s="567">
        <v>12</v>
      </c>
      <c r="Z173" s="189">
        <v>3</v>
      </c>
      <c r="AA173" s="541" t="s">
        <v>934</v>
      </c>
      <c r="AB173" s="537">
        <v>43705</v>
      </c>
      <c r="AC173" s="537">
        <v>45531</v>
      </c>
      <c r="AD173" s="718" t="s">
        <v>935</v>
      </c>
      <c r="AE173" s="718" t="s">
        <v>67</v>
      </c>
      <c r="AF173" s="695" t="s">
        <v>947</v>
      </c>
      <c r="AG173" s="695" t="s">
        <v>948</v>
      </c>
      <c r="AH173" s="547" t="s">
        <v>402</v>
      </c>
      <c r="AI173" s="677" t="s">
        <v>943</v>
      </c>
      <c r="AJ173" s="189"/>
      <c r="AK173" s="568">
        <v>3304990000</v>
      </c>
      <c r="AM173" s="588" t="s">
        <v>949</v>
      </c>
      <c r="AN173" s="273" t="s">
        <v>950</v>
      </c>
      <c r="AO173" s="273" t="s">
        <v>951</v>
      </c>
      <c r="AP173" s="616" t="s">
        <v>955</v>
      </c>
      <c r="AQ173" s="637" t="s">
        <v>953</v>
      </c>
      <c r="AR173" s="621"/>
      <c r="AS173" s="618"/>
      <c r="AU173" s="189"/>
      <c r="AV173" s="189"/>
      <c r="AW173" s="189"/>
      <c r="AX173" s="512">
        <f>125*37*37/1000000000</f>
        <v>1.71125E-4</v>
      </c>
      <c r="AY173" s="507">
        <f t="shared" si="73"/>
        <v>0</v>
      </c>
      <c r="AZ173" s="189"/>
      <c r="BA173" s="189"/>
      <c r="BB173" s="189"/>
      <c r="BC173" s="517"/>
      <c r="BD173" s="189" t="s">
        <v>264</v>
      </c>
      <c r="BG173" s="442" t="s">
        <v>945</v>
      </c>
      <c r="BH173" s="442" t="s">
        <v>407</v>
      </c>
    </row>
    <row r="174" spans="1:62" ht="22.5" customHeight="1">
      <c r="A174" s="116">
        <v>4620748862089</v>
      </c>
      <c r="B174" s="100">
        <v>1123</v>
      </c>
      <c r="C174" s="251" t="s">
        <v>956</v>
      </c>
      <c r="D174" s="826"/>
      <c r="E174" s="110" t="s">
        <v>208</v>
      </c>
      <c r="F174" s="249"/>
      <c r="G174" s="240"/>
      <c r="H174" s="190"/>
      <c r="I174" s="238"/>
      <c r="J174" s="238">
        <v>255</v>
      </c>
      <c r="K174" s="104">
        <f t="shared" si="67"/>
        <v>0</v>
      </c>
      <c r="L174" s="238">
        <f t="shared" si="78"/>
        <v>267.75</v>
      </c>
      <c r="M174" s="104">
        <f t="shared" si="68"/>
        <v>0</v>
      </c>
      <c r="N174" s="238">
        <f t="shared" si="75"/>
        <v>280.5</v>
      </c>
      <c r="O174" s="104">
        <f t="shared" si="69"/>
        <v>0</v>
      </c>
      <c r="P174" s="238">
        <f t="shared" si="76"/>
        <v>293.25</v>
      </c>
      <c r="Q174" s="104">
        <f t="shared" si="70"/>
        <v>0</v>
      </c>
      <c r="R174" s="238">
        <f t="shared" si="77"/>
        <v>318.75</v>
      </c>
      <c r="S174" s="104">
        <f t="shared" si="71"/>
        <v>0</v>
      </c>
      <c r="T174" s="105">
        <v>45</v>
      </c>
      <c r="U174" s="105">
        <f t="shared" si="79"/>
        <v>0</v>
      </c>
      <c r="V174" s="106"/>
      <c r="W174" s="301">
        <v>480</v>
      </c>
      <c r="Y174" s="567">
        <v>12</v>
      </c>
      <c r="Z174" s="189">
        <v>3</v>
      </c>
      <c r="AA174" s="541" t="s">
        <v>934</v>
      </c>
      <c r="AB174" s="537">
        <v>43705</v>
      </c>
      <c r="AC174" s="537">
        <v>47278</v>
      </c>
      <c r="AD174" s="718" t="s">
        <v>935</v>
      </c>
      <c r="AE174" s="718" t="s">
        <v>67</v>
      </c>
      <c r="AF174" s="695"/>
      <c r="AG174" s="695"/>
      <c r="AH174" s="547" t="s">
        <v>393</v>
      </c>
      <c r="AI174" s="677" t="s">
        <v>730</v>
      </c>
      <c r="AJ174" s="189"/>
      <c r="AK174" s="568">
        <v>3304990000</v>
      </c>
      <c r="AM174" s="610" t="s">
        <v>957</v>
      </c>
      <c r="AN174" s="611" t="s">
        <v>958</v>
      </c>
      <c r="AO174" s="611" t="s">
        <v>959</v>
      </c>
      <c r="AP174" s="616" t="s">
        <v>960</v>
      </c>
      <c r="AQ174" s="637" t="s">
        <v>961</v>
      </c>
      <c r="AR174" s="621"/>
      <c r="AS174" s="618"/>
      <c r="AU174" s="189"/>
      <c r="AV174" s="189"/>
      <c r="AW174" s="189"/>
      <c r="AX174" s="512">
        <f>107*33*33/1000000000</f>
        <v>1.16523E-4</v>
      </c>
      <c r="AY174" s="507">
        <f t="shared" si="73"/>
        <v>0</v>
      </c>
      <c r="AZ174" s="189"/>
      <c r="BA174" s="189"/>
      <c r="BB174" s="189"/>
      <c r="BC174" s="517"/>
      <c r="BD174" s="189" t="s">
        <v>264</v>
      </c>
      <c r="BF174" s="499" t="s">
        <v>679</v>
      </c>
      <c r="BG174" s="442" t="s">
        <v>680</v>
      </c>
      <c r="BH174" s="442" t="s">
        <v>407</v>
      </c>
    </row>
    <row r="175" spans="1:62" ht="22.5" customHeight="1">
      <c r="A175" s="116">
        <v>4627186340889</v>
      </c>
      <c r="B175" s="100">
        <v>4434</v>
      </c>
      <c r="C175" s="251" t="s">
        <v>962</v>
      </c>
      <c r="D175" s="826"/>
      <c r="E175" s="110" t="s">
        <v>822</v>
      </c>
      <c r="F175" s="249"/>
      <c r="G175" s="240"/>
      <c r="H175" s="190"/>
      <c r="I175" s="238"/>
      <c r="J175" s="238">
        <v>400</v>
      </c>
      <c r="K175" s="104">
        <f t="shared" si="67"/>
        <v>0</v>
      </c>
      <c r="L175" s="238">
        <f t="shared" si="78"/>
        <v>420</v>
      </c>
      <c r="M175" s="104">
        <f t="shared" si="68"/>
        <v>0</v>
      </c>
      <c r="N175" s="238">
        <f t="shared" si="75"/>
        <v>440</v>
      </c>
      <c r="O175" s="104">
        <f t="shared" si="69"/>
        <v>0</v>
      </c>
      <c r="P175" s="238">
        <f t="shared" si="76"/>
        <v>460</v>
      </c>
      <c r="Q175" s="104">
        <f t="shared" si="70"/>
        <v>0</v>
      </c>
      <c r="R175" s="238">
        <f t="shared" si="77"/>
        <v>500</v>
      </c>
      <c r="S175" s="104">
        <f t="shared" si="71"/>
        <v>0</v>
      </c>
      <c r="T175" s="105">
        <v>85</v>
      </c>
      <c r="U175" s="105">
        <f t="shared" si="79"/>
        <v>0</v>
      </c>
      <c r="V175" s="106"/>
      <c r="W175" s="301">
        <v>760</v>
      </c>
      <c r="Y175" s="567">
        <v>12</v>
      </c>
      <c r="Z175" s="189">
        <v>3</v>
      </c>
      <c r="AA175" s="541" t="s">
        <v>934</v>
      </c>
      <c r="AB175" s="537">
        <v>43705</v>
      </c>
      <c r="AC175" s="537">
        <v>47278</v>
      </c>
      <c r="AD175" s="718" t="s">
        <v>935</v>
      </c>
      <c r="AE175" s="718" t="s">
        <v>67</v>
      </c>
      <c r="AF175" s="695"/>
      <c r="AG175" s="695"/>
      <c r="AH175" s="547" t="s">
        <v>963</v>
      </c>
      <c r="AI175" s="677" t="s">
        <v>964</v>
      </c>
      <c r="AJ175" s="189"/>
      <c r="AK175" s="568">
        <v>3304990000</v>
      </c>
      <c r="AM175" s="610" t="s">
        <v>957</v>
      </c>
      <c r="AN175" s="611" t="s">
        <v>958</v>
      </c>
      <c r="AO175" s="611" t="s">
        <v>959</v>
      </c>
      <c r="AP175" s="616" t="s">
        <v>965</v>
      </c>
      <c r="AQ175" s="637" t="s">
        <v>961</v>
      </c>
      <c r="AR175" s="621"/>
      <c r="AS175" s="618"/>
      <c r="AU175" s="189"/>
      <c r="AV175" s="189"/>
      <c r="AW175" s="189"/>
      <c r="AX175" s="512">
        <f>125*37*37/1000000000</f>
        <v>1.71125E-4</v>
      </c>
      <c r="AY175" s="507">
        <f t="shared" si="73"/>
        <v>0</v>
      </c>
      <c r="AZ175" s="189"/>
      <c r="BA175" s="189"/>
      <c r="BB175" s="189"/>
      <c r="BC175" s="517"/>
      <c r="BD175" s="189" t="s">
        <v>264</v>
      </c>
      <c r="BG175" s="442" t="s">
        <v>945</v>
      </c>
      <c r="BH175" s="442" t="s">
        <v>407</v>
      </c>
    </row>
    <row r="176" spans="1:62" ht="22.5" customHeight="1">
      <c r="A176" s="116">
        <v>4620748862072</v>
      </c>
      <c r="B176" s="100">
        <v>1125</v>
      </c>
      <c r="C176" s="251" t="s">
        <v>966</v>
      </c>
      <c r="D176" s="826"/>
      <c r="E176" s="110" t="s">
        <v>208</v>
      </c>
      <c r="F176" s="249"/>
      <c r="G176" s="240"/>
      <c r="H176" s="190"/>
      <c r="I176" s="238"/>
      <c r="J176" s="238">
        <v>270</v>
      </c>
      <c r="K176" s="104">
        <f t="shared" si="67"/>
        <v>0</v>
      </c>
      <c r="L176" s="238">
        <f t="shared" si="78"/>
        <v>283.5</v>
      </c>
      <c r="M176" s="104">
        <f t="shared" si="68"/>
        <v>0</v>
      </c>
      <c r="N176" s="238">
        <f t="shared" si="75"/>
        <v>297</v>
      </c>
      <c r="O176" s="104">
        <f t="shared" si="69"/>
        <v>0</v>
      </c>
      <c r="P176" s="238">
        <f t="shared" si="76"/>
        <v>310.5</v>
      </c>
      <c r="Q176" s="104">
        <f t="shared" si="70"/>
        <v>0</v>
      </c>
      <c r="R176" s="238">
        <f t="shared" si="77"/>
        <v>337.5</v>
      </c>
      <c r="S176" s="104">
        <f t="shared" si="71"/>
        <v>0</v>
      </c>
      <c r="T176" s="105">
        <v>45</v>
      </c>
      <c r="U176" s="105">
        <f t="shared" si="79"/>
        <v>0</v>
      </c>
      <c r="V176" s="106"/>
      <c r="W176" s="301">
        <v>510</v>
      </c>
      <c r="Y176" s="567">
        <v>12</v>
      </c>
      <c r="Z176" s="189">
        <v>3</v>
      </c>
      <c r="AA176" s="541" t="s">
        <v>934</v>
      </c>
      <c r="AB176" s="537">
        <v>43705</v>
      </c>
      <c r="AC176" s="537">
        <v>47278</v>
      </c>
      <c r="AD176" s="718" t="s">
        <v>935</v>
      </c>
      <c r="AE176" s="718" t="s">
        <v>67</v>
      </c>
      <c r="AF176" s="695"/>
      <c r="AG176" s="695"/>
      <c r="AH176" s="547" t="s">
        <v>393</v>
      </c>
      <c r="AI176" s="677" t="s">
        <v>730</v>
      </c>
      <c r="AJ176" s="189"/>
      <c r="AK176" s="568">
        <v>3304990000</v>
      </c>
      <c r="AM176" s="610" t="s">
        <v>967</v>
      </c>
      <c r="AN176" s="611" t="s">
        <v>968</v>
      </c>
      <c r="AO176" s="611" t="s">
        <v>969</v>
      </c>
      <c r="AP176" s="616" t="s">
        <v>970</v>
      </c>
      <c r="AQ176" s="637" t="s">
        <v>971</v>
      </c>
      <c r="AR176" s="621"/>
      <c r="AS176" s="618"/>
      <c r="AU176" s="189"/>
      <c r="AV176" s="189"/>
      <c r="AW176" s="189"/>
      <c r="AX176" s="512">
        <f>107*33*33/1000000000</f>
        <v>1.16523E-4</v>
      </c>
      <c r="AY176" s="507">
        <f t="shared" si="73"/>
        <v>0</v>
      </c>
      <c r="AZ176" s="189"/>
      <c r="BA176" s="189"/>
      <c r="BB176" s="189"/>
      <c r="BC176" s="517"/>
      <c r="BD176" s="189" t="s">
        <v>264</v>
      </c>
      <c r="BF176" s="499" t="s">
        <v>679</v>
      </c>
      <c r="BG176" s="442" t="s">
        <v>680</v>
      </c>
      <c r="BH176" s="442" t="s">
        <v>407</v>
      </c>
    </row>
    <row r="177" spans="1:62" ht="22.5" customHeight="1">
      <c r="A177" s="116">
        <v>4620748862157</v>
      </c>
      <c r="B177" s="100">
        <v>1126</v>
      </c>
      <c r="C177" s="251" t="s">
        <v>972</v>
      </c>
      <c r="D177" s="826"/>
      <c r="E177" s="110" t="s">
        <v>822</v>
      </c>
      <c r="F177" s="249"/>
      <c r="G177" s="240"/>
      <c r="H177" s="190"/>
      <c r="I177" s="238"/>
      <c r="J177" s="238">
        <v>415</v>
      </c>
      <c r="K177" s="104">
        <f t="shared" si="67"/>
        <v>0</v>
      </c>
      <c r="L177" s="238">
        <f t="shared" si="78"/>
        <v>435.75</v>
      </c>
      <c r="M177" s="104">
        <f t="shared" si="68"/>
        <v>0</v>
      </c>
      <c r="N177" s="238">
        <f t="shared" si="75"/>
        <v>456.5</v>
      </c>
      <c r="O177" s="104">
        <f t="shared" si="69"/>
        <v>0</v>
      </c>
      <c r="P177" s="238">
        <f t="shared" si="76"/>
        <v>477.25</v>
      </c>
      <c r="Q177" s="104">
        <f t="shared" si="70"/>
        <v>0</v>
      </c>
      <c r="R177" s="238">
        <f t="shared" si="77"/>
        <v>518.75</v>
      </c>
      <c r="S177" s="104">
        <f t="shared" si="71"/>
        <v>0</v>
      </c>
      <c r="T177" s="105">
        <v>85</v>
      </c>
      <c r="U177" s="105">
        <f t="shared" si="79"/>
        <v>0</v>
      </c>
      <c r="V177" s="106"/>
      <c r="W177" s="301">
        <v>785</v>
      </c>
      <c r="Y177" s="567">
        <v>12</v>
      </c>
      <c r="Z177" s="189">
        <v>3</v>
      </c>
      <c r="AA177" s="541" t="s">
        <v>934</v>
      </c>
      <c r="AB177" s="537">
        <v>43705</v>
      </c>
      <c r="AC177" s="537">
        <v>47278</v>
      </c>
      <c r="AD177" s="714" t="s">
        <v>935</v>
      </c>
      <c r="AE177" s="718" t="s">
        <v>67</v>
      </c>
      <c r="AF177" s="695"/>
      <c r="AG177" s="695"/>
      <c r="AH177" s="547" t="s">
        <v>963</v>
      </c>
      <c r="AI177" s="677" t="s">
        <v>964</v>
      </c>
      <c r="AJ177" s="189"/>
      <c r="AK177" s="568">
        <v>3304990000</v>
      </c>
      <c r="AM177" s="610" t="s">
        <v>967</v>
      </c>
      <c r="AN177" s="611" t="s">
        <v>968</v>
      </c>
      <c r="AO177" s="611" t="s">
        <v>969</v>
      </c>
      <c r="AP177" s="616" t="s">
        <v>973</v>
      </c>
      <c r="AQ177" s="637" t="s">
        <v>971</v>
      </c>
      <c r="AR177" s="621"/>
      <c r="AS177" s="618"/>
      <c r="AU177" s="189"/>
      <c r="AV177" s="189"/>
      <c r="AW177" s="189"/>
      <c r="AX177" s="512">
        <f>125*37*37/1000000000</f>
        <v>1.71125E-4</v>
      </c>
      <c r="AY177" s="507">
        <f t="shared" si="73"/>
        <v>0</v>
      </c>
      <c r="AZ177" s="189"/>
      <c r="BA177" s="189"/>
      <c r="BB177" s="189"/>
      <c r="BC177" s="517"/>
      <c r="BD177" s="189" t="s">
        <v>264</v>
      </c>
      <c r="BG177" s="442" t="s">
        <v>945</v>
      </c>
      <c r="BH177" s="442" t="s">
        <v>407</v>
      </c>
    </row>
    <row r="178" spans="1:62" ht="22.5" customHeight="1">
      <c r="A178" s="116">
        <v>4620748861037</v>
      </c>
      <c r="B178" s="100">
        <v>3443</v>
      </c>
      <c r="C178" s="251" t="s">
        <v>974</v>
      </c>
      <c r="D178" s="826"/>
      <c r="E178" s="110" t="s">
        <v>304</v>
      </c>
      <c r="F178" s="249"/>
      <c r="G178" s="240"/>
      <c r="H178" s="190"/>
      <c r="I178" s="238"/>
      <c r="J178" s="238">
        <v>265</v>
      </c>
      <c r="K178" s="104">
        <f t="shared" si="67"/>
        <v>0</v>
      </c>
      <c r="L178" s="238">
        <f t="shared" si="78"/>
        <v>278.25</v>
      </c>
      <c r="M178" s="104">
        <f t="shared" si="68"/>
        <v>0</v>
      </c>
      <c r="N178" s="238">
        <f t="shared" si="75"/>
        <v>291.5</v>
      </c>
      <c r="O178" s="104">
        <f t="shared" si="69"/>
        <v>0</v>
      </c>
      <c r="P178" s="238">
        <f t="shared" si="76"/>
        <v>304.75</v>
      </c>
      <c r="Q178" s="104">
        <f t="shared" si="70"/>
        <v>0</v>
      </c>
      <c r="R178" s="238">
        <f t="shared" si="77"/>
        <v>331.25</v>
      </c>
      <c r="S178" s="104">
        <f t="shared" si="71"/>
        <v>0</v>
      </c>
      <c r="T178" s="105">
        <v>160</v>
      </c>
      <c r="U178" s="105">
        <f t="shared" si="79"/>
        <v>0</v>
      </c>
      <c r="V178" s="106"/>
      <c r="W178" s="301">
        <v>500</v>
      </c>
      <c r="Y178" s="567">
        <v>18</v>
      </c>
      <c r="Z178" s="189">
        <v>3</v>
      </c>
      <c r="AA178" s="541" t="s">
        <v>975</v>
      </c>
      <c r="AB178" s="537">
        <v>44923</v>
      </c>
      <c r="AC178" s="537">
        <v>47478</v>
      </c>
      <c r="AD178" s="718" t="s">
        <v>976</v>
      </c>
      <c r="AE178" s="718" t="s">
        <v>141</v>
      </c>
      <c r="AF178" s="695" t="s">
        <v>977</v>
      </c>
      <c r="AG178" s="695" t="s">
        <v>978</v>
      </c>
      <c r="AH178" s="547" t="s">
        <v>979</v>
      </c>
      <c r="AI178" s="674" t="s">
        <v>707</v>
      </c>
      <c r="AJ178" s="189"/>
      <c r="AK178" s="571">
        <v>3304990000</v>
      </c>
      <c r="AL178" s="557"/>
      <c r="AM178" s="588" t="s">
        <v>980</v>
      </c>
      <c r="AN178" s="273" t="s">
        <v>981</v>
      </c>
      <c r="AO178" s="273" t="s">
        <v>982</v>
      </c>
      <c r="AP178" s="616" t="s">
        <v>983</v>
      </c>
      <c r="AQ178" s="637" t="s">
        <v>984</v>
      </c>
      <c r="AR178" s="621"/>
      <c r="AS178" s="618"/>
      <c r="AU178" s="189"/>
      <c r="AV178" s="189"/>
      <c r="AW178" s="189"/>
      <c r="AX178" s="512">
        <f>136*51*34/1000000000</f>
        <v>2.3582400000000001E-4</v>
      </c>
      <c r="AY178" s="507">
        <f t="shared" si="73"/>
        <v>0</v>
      </c>
      <c r="AZ178" s="189"/>
      <c r="BA178" s="189"/>
      <c r="BB178" s="189"/>
      <c r="BC178" s="517"/>
      <c r="BD178" s="189" t="s">
        <v>315</v>
      </c>
      <c r="BF178" s="445"/>
      <c r="BG178" s="442"/>
      <c r="BH178" s="442"/>
      <c r="BI178" s="442" t="s">
        <v>318</v>
      </c>
      <c r="BJ178" s="21" t="s">
        <v>319</v>
      </c>
    </row>
    <row r="179" spans="1:62" ht="22.5" customHeight="1">
      <c r="A179" s="116">
        <v>4627186340049</v>
      </c>
      <c r="B179" s="100">
        <v>3369</v>
      </c>
      <c r="C179" s="251" t="s">
        <v>985</v>
      </c>
      <c r="D179" s="826"/>
      <c r="E179" s="110" t="s">
        <v>750</v>
      </c>
      <c r="F179" s="249"/>
      <c r="G179" s="240"/>
      <c r="H179" s="190"/>
      <c r="I179" s="238"/>
      <c r="J179" s="238">
        <v>165</v>
      </c>
      <c r="K179" s="104">
        <f t="shared" si="67"/>
        <v>0</v>
      </c>
      <c r="L179" s="238">
        <f t="shared" si="78"/>
        <v>173.25</v>
      </c>
      <c r="M179" s="104">
        <f>L179*F179</f>
        <v>0</v>
      </c>
      <c r="N179" s="238">
        <f t="shared" si="75"/>
        <v>181.5</v>
      </c>
      <c r="O179" s="104">
        <f>N179*F179</f>
        <v>0</v>
      </c>
      <c r="P179" s="238">
        <f t="shared" si="76"/>
        <v>189.75</v>
      </c>
      <c r="Q179" s="104">
        <f>P179*F179</f>
        <v>0</v>
      </c>
      <c r="R179" s="238">
        <f t="shared" si="77"/>
        <v>206.25</v>
      </c>
      <c r="S179" s="104">
        <f>R179*F179</f>
        <v>0</v>
      </c>
      <c r="T179" s="105">
        <v>60</v>
      </c>
      <c r="U179" s="105">
        <f t="shared" si="79"/>
        <v>0</v>
      </c>
      <c r="V179" s="106"/>
      <c r="W179" s="301">
        <v>310</v>
      </c>
      <c r="Y179" s="567">
        <v>12</v>
      </c>
      <c r="Z179" s="189">
        <v>3</v>
      </c>
      <c r="AA179" s="777" t="s">
        <v>751</v>
      </c>
      <c r="AB179" s="539">
        <v>44060</v>
      </c>
      <c r="AC179" s="539">
        <v>45885</v>
      </c>
      <c r="AD179" s="715" t="s">
        <v>752</v>
      </c>
      <c r="AE179" s="718" t="s">
        <v>67</v>
      </c>
      <c r="AF179" s="695" t="s">
        <v>986</v>
      </c>
      <c r="AG179" s="695" t="s">
        <v>987</v>
      </c>
      <c r="AH179" s="548"/>
      <c r="AI179" s="677" t="s">
        <v>988</v>
      </c>
      <c r="AJ179" s="511"/>
      <c r="AK179" s="568">
        <v>3304990000</v>
      </c>
      <c r="AM179" s="588" t="s">
        <v>989</v>
      </c>
      <c r="AN179" s="273" t="s">
        <v>990</v>
      </c>
      <c r="AO179" s="273" t="s">
        <v>991</v>
      </c>
      <c r="AP179" s="616" t="s">
        <v>992</v>
      </c>
      <c r="AQ179" s="637" t="s">
        <v>993</v>
      </c>
      <c r="AR179" s="621"/>
      <c r="AS179" s="618"/>
      <c r="AU179" s="511"/>
      <c r="AV179" s="511"/>
      <c r="AW179" s="511"/>
      <c r="AX179" s="512"/>
      <c r="AY179" s="507">
        <f t="shared" si="73"/>
        <v>0</v>
      </c>
      <c r="AZ179" s="511"/>
      <c r="BA179" s="511"/>
      <c r="BB179" s="511"/>
      <c r="BC179" s="517"/>
      <c r="BD179" s="189"/>
      <c r="BF179" s="445"/>
      <c r="BG179" s="442"/>
      <c r="BH179" s="442"/>
    </row>
    <row r="180" spans="1:62" ht="22.5" customHeight="1">
      <c r="A180" s="116">
        <v>4620748862119</v>
      </c>
      <c r="B180" s="100">
        <v>3651</v>
      </c>
      <c r="C180" s="251" t="s">
        <v>994</v>
      </c>
      <c r="D180" s="826"/>
      <c r="E180" s="110" t="s">
        <v>750</v>
      </c>
      <c r="F180" s="249"/>
      <c r="G180" s="240"/>
      <c r="H180" s="190"/>
      <c r="I180" s="238"/>
      <c r="J180" s="238">
        <v>195</v>
      </c>
      <c r="K180" s="104">
        <f t="shared" si="67"/>
        <v>0</v>
      </c>
      <c r="L180" s="238">
        <f t="shared" si="78"/>
        <v>204.75</v>
      </c>
      <c r="M180" s="104">
        <f>F180*L180</f>
        <v>0</v>
      </c>
      <c r="N180" s="238">
        <f t="shared" si="75"/>
        <v>214.5</v>
      </c>
      <c r="O180" s="104">
        <f>F180*N180</f>
        <v>0</v>
      </c>
      <c r="P180" s="238">
        <f t="shared" si="76"/>
        <v>224.25</v>
      </c>
      <c r="Q180" s="104">
        <f>F180*P180</f>
        <v>0</v>
      </c>
      <c r="R180" s="238">
        <f t="shared" si="77"/>
        <v>243.75</v>
      </c>
      <c r="S180" s="104">
        <f>F180*R180</f>
        <v>0</v>
      </c>
      <c r="T180" s="105">
        <v>80</v>
      </c>
      <c r="U180" s="105">
        <f t="shared" si="79"/>
        <v>0</v>
      </c>
      <c r="V180" s="106"/>
      <c r="W180" s="301">
        <v>370</v>
      </c>
      <c r="Y180" s="567">
        <v>12</v>
      </c>
      <c r="Z180" s="189">
        <v>3</v>
      </c>
      <c r="AA180" s="541" t="s">
        <v>442</v>
      </c>
      <c r="AB180" s="537">
        <v>44553</v>
      </c>
      <c r="AC180" s="537">
        <v>46378</v>
      </c>
      <c r="AD180" s="718" t="s">
        <v>752</v>
      </c>
      <c r="AE180" s="718" t="s">
        <v>67</v>
      </c>
      <c r="AF180" s="695" t="s">
        <v>986</v>
      </c>
      <c r="AG180" s="695" t="s">
        <v>987</v>
      </c>
      <c r="AH180" s="548" t="s">
        <v>662</v>
      </c>
      <c r="AI180" s="677" t="s">
        <v>995</v>
      </c>
      <c r="AJ180" s="511"/>
      <c r="AK180" s="568">
        <v>3304990000</v>
      </c>
      <c r="AM180" s="588" t="s">
        <v>989</v>
      </c>
      <c r="AN180" s="273" t="s">
        <v>990</v>
      </c>
      <c r="AO180" s="273" t="s">
        <v>991</v>
      </c>
      <c r="AP180" s="616" t="s">
        <v>996</v>
      </c>
      <c r="AQ180" s="637" t="s">
        <v>993</v>
      </c>
      <c r="AR180" s="621"/>
      <c r="AS180" s="618"/>
      <c r="AU180" s="511"/>
      <c r="AV180" s="511"/>
      <c r="AW180" s="511"/>
      <c r="AX180" s="512"/>
      <c r="AY180" s="507">
        <f t="shared" si="73"/>
        <v>0</v>
      </c>
      <c r="AZ180" s="511"/>
      <c r="BA180" s="511"/>
      <c r="BB180" s="511"/>
      <c r="BC180" s="517"/>
      <c r="BD180" s="189"/>
      <c r="BF180" s="445"/>
      <c r="BG180" s="442"/>
      <c r="BH180" s="442"/>
    </row>
    <row r="181" spans="1:62" ht="22.5" customHeight="1">
      <c r="A181" s="116">
        <v>4627186343446</v>
      </c>
      <c r="B181" s="100">
        <v>4269</v>
      </c>
      <c r="C181" s="251" t="s">
        <v>997</v>
      </c>
      <c r="D181" s="826"/>
      <c r="E181" s="110"/>
      <c r="F181" s="249"/>
      <c r="G181" s="240"/>
      <c r="H181" s="190"/>
      <c r="I181" s="238"/>
      <c r="J181" s="238">
        <v>145</v>
      </c>
      <c r="K181" s="104">
        <f t="shared" si="67"/>
        <v>0</v>
      </c>
      <c r="L181" s="238">
        <f t="shared" si="78"/>
        <v>152.25</v>
      </c>
      <c r="M181" s="104">
        <f>F181*L181</f>
        <v>0</v>
      </c>
      <c r="N181" s="238">
        <f t="shared" si="75"/>
        <v>159.5</v>
      </c>
      <c r="O181" s="104">
        <f>F181*N181</f>
        <v>0</v>
      </c>
      <c r="P181" s="238">
        <f t="shared" si="76"/>
        <v>166.75</v>
      </c>
      <c r="Q181" s="104">
        <f>F181*P181</f>
        <v>0</v>
      </c>
      <c r="R181" s="238">
        <f t="shared" si="77"/>
        <v>181.25</v>
      </c>
      <c r="S181" s="104">
        <f>F181*R181</f>
        <v>0</v>
      </c>
      <c r="T181" s="105">
        <v>95</v>
      </c>
      <c r="U181" s="105">
        <f t="shared" ref="U181" si="80">T181*F181</f>
        <v>0</v>
      </c>
      <c r="V181" s="106"/>
      <c r="W181" s="301">
        <v>275</v>
      </c>
      <c r="Y181" s="567">
        <v>12</v>
      </c>
      <c r="Z181" s="189"/>
      <c r="AA181" s="541" t="s">
        <v>123</v>
      </c>
      <c r="AB181" s="537">
        <v>44193</v>
      </c>
      <c r="AC181" s="537">
        <v>46018</v>
      </c>
      <c r="AD181" s="717" t="s">
        <v>998</v>
      </c>
      <c r="AE181" s="718"/>
      <c r="AF181" s="695"/>
      <c r="AG181" s="695"/>
      <c r="AH181" s="548"/>
      <c r="AI181" s="677"/>
      <c r="AJ181" s="511"/>
      <c r="AK181" s="568">
        <v>3401110001</v>
      </c>
      <c r="AM181" s="588"/>
      <c r="AN181" s="273"/>
      <c r="AO181" s="273"/>
      <c r="AP181" s="616"/>
      <c r="AQ181" s="637"/>
      <c r="AR181" s="621"/>
      <c r="AS181" s="618"/>
      <c r="AU181" s="511"/>
      <c r="AV181" s="511"/>
      <c r="AW181" s="511"/>
      <c r="AX181" s="512"/>
      <c r="AY181" s="507"/>
      <c r="AZ181" s="511"/>
      <c r="BA181" s="511"/>
      <c r="BB181" s="511"/>
      <c r="BC181" s="517"/>
      <c r="BD181" s="189"/>
      <c r="BF181" s="445"/>
      <c r="BG181" s="442"/>
      <c r="BH181" s="442"/>
    </row>
    <row r="182" spans="1:62" ht="29.25" customHeight="1">
      <c r="A182" s="116">
        <v>4627101827754</v>
      </c>
      <c r="B182" s="100">
        <v>2647</v>
      </c>
      <c r="C182" s="251" t="s">
        <v>999</v>
      </c>
      <c r="D182" s="826"/>
      <c r="E182" s="110" t="s">
        <v>420</v>
      </c>
      <c r="F182" s="249"/>
      <c r="G182" s="240"/>
      <c r="H182" s="190"/>
      <c r="I182" s="238"/>
      <c r="J182" s="238">
        <v>290</v>
      </c>
      <c r="K182" s="104">
        <f t="shared" si="67"/>
        <v>0</v>
      </c>
      <c r="L182" s="238">
        <f t="shared" si="78"/>
        <v>304.5</v>
      </c>
      <c r="M182" s="104">
        <f>F182*L182</f>
        <v>0</v>
      </c>
      <c r="N182" s="238">
        <f t="shared" si="75"/>
        <v>319</v>
      </c>
      <c r="O182" s="104">
        <f>F182*N182</f>
        <v>0</v>
      </c>
      <c r="P182" s="238">
        <f t="shared" si="76"/>
        <v>333.5</v>
      </c>
      <c r="Q182" s="104">
        <f>F182*P182</f>
        <v>0</v>
      </c>
      <c r="R182" s="238">
        <f t="shared" si="77"/>
        <v>362.5</v>
      </c>
      <c r="S182" s="104">
        <f>F182*R182</f>
        <v>0</v>
      </c>
      <c r="T182" s="105">
        <v>80</v>
      </c>
      <c r="U182" s="105">
        <f t="shared" si="79"/>
        <v>0</v>
      </c>
      <c r="V182" s="106"/>
      <c r="W182" s="301">
        <v>550</v>
      </c>
      <c r="Y182" s="567">
        <v>12</v>
      </c>
      <c r="Z182" s="189">
        <v>3</v>
      </c>
      <c r="AA182" s="541" t="s">
        <v>691</v>
      </c>
      <c r="AB182" s="537">
        <v>45135</v>
      </c>
      <c r="AC182" s="537">
        <v>47691</v>
      </c>
      <c r="AD182" s="717" t="s">
        <v>1000</v>
      </c>
      <c r="AE182" s="718" t="s">
        <v>67</v>
      </c>
      <c r="AF182" s="695" t="s">
        <v>1001</v>
      </c>
      <c r="AG182" s="695" t="s">
        <v>823</v>
      </c>
      <c r="AH182" s="547" t="s">
        <v>577</v>
      </c>
      <c r="AI182" s="677" t="s">
        <v>790</v>
      </c>
      <c r="AJ182" s="189"/>
      <c r="AK182" s="568">
        <v>3304990000</v>
      </c>
      <c r="AM182" s="588" t="s">
        <v>1002</v>
      </c>
      <c r="AN182" s="273" t="s">
        <v>1003</v>
      </c>
      <c r="AO182" s="273" t="s">
        <v>1004</v>
      </c>
      <c r="AP182" s="616" t="s">
        <v>1005</v>
      </c>
      <c r="AQ182" s="637" t="s">
        <v>1006</v>
      </c>
      <c r="AR182" s="621"/>
      <c r="AS182" s="618"/>
      <c r="AU182" s="189"/>
      <c r="AV182" s="189"/>
      <c r="AW182" s="189"/>
      <c r="AX182" s="512">
        <f>107*33*33/1000000000</f>
        <v>1.16523E-4</v>
      </c>
      <c r="AY182" s="507">
        <f>AX182*F182</f>
        <v>0</v>
      </c>
      <c r="AZ182" s="189"/>
      <c r="BA182" s="189"/>
      <c r="BB182" s="189"/>
      <c r="BC182" s="517"/>
      <c r="BD182" s="189" t="s">
        <v>264</v>
      </c>
      <c r="BF182" s="499" t="s">
        <v>679</v>
      </c>
      <c r="BG182" s="442" t="s">
        <v>680</v>
      </c>
      <c r="BH182" s="442" t="s">
        <v>407</v>
      </c>
    </row>
    <row r="183" spans="1:62" ht="28.5" customHeight="1">
      <c r="A183" s="116">
        <v>4627101827778</v>
      </c>
      <c r="B183" s="100">
        <v>2648</v>
      </c>
      <c r="C183" s="251" t="s">
        <v>1007</v>
      </c>
      <c r="D183" s="826"/>
      <c r="E183" s="110" t="s">
        <v>420</v>
      </c>
      <c r="F183" s="249"/>
      <c r="G183" s="240"/>
      <c r="H183" s="190"/>
      <c r="I183" s="238"/>
      <c r="J183" s="238">
        <v>315</v>
      </c>
      <c r="K183" s="104">
        <f t="shared" si="67"/>
        <v>0</v>
      </c>
      <c r="L183" s="238">
        <f t="shared" si="78"/>
        <v>330.75</v>
      </c>
      <c r="M183" s="104">
        <f>F183*L183</f>
        <v>0</v>
      </c>
      <c r="N183" s="238">
        <f t="shared" si="75"/>
        <v>346.5</v>
      </c>
      <c r="O183" s="104">
        <f>F183*N183</f>
        <v>0</v>
      </c>
      <c r="P183" s="238">
        <f t="shared" si="76"/>
        <v>362.25</v>
      </c>
      <c r="Q183" s="104">
        <f>F183*P183</f>
        <v>0</v>
      </c>
      <c r="R183" s="238">
        <f t="shared" si="77"/>
        <v>393.75</v>
      </c>
      <c r="S183" s="104">
        <f>F183*R183</f>
        <v>0</v>
      </c>
      <c r="T183" s="105">
        <v>80</v>
      </c>
      <c r="U183" s="105">
        <f t="shared" si="79"/>
        <v>0</v>
      </c>
      <c r="V183" s="106"/>
      <c r="W183" s="301">
        <v>595</v>
      </c>
      <c r="Y183" s="567">
        <v>12</v>
      </c>
      <c r="Z183" s="189">
        <v>3</v>
      </c>
      <c r="AA183" s="541" t="s">
        <v>691</v>
      </c>
      <c r="AB183" s="537">
        <v>45135</v>
      </c>
      <c r="AC183" s="537">
        <v>47691</v>
      </c>
      <c r="AD183" s="717" t="s">
        <v>1008</v>
      </c>
      <c r="AE183" s="718" t="s">
        <v>67</v>
      </c>
      <c r="AF183" s="695" t="s">
        <v>1001</v>
      </c>
      <c r="AG183" s="695" t="s">
        <v>1009</v>
      </c>
      <c r="AH183" s="547" t="s">
        <v>577</v>
      </c>
      <c r="AI183" s="677" t="s">
        <v>1010</v>
      </c>
      <c r="AJ183" s="189"/>
      <c r="AK183" s="568">
        <v>3304990000</v>
      </c>
      <c r="AM183" s="588" t="s">
        <v>1011</v>
      </c>
      <c r="AN183" s="273" t="s">
        <v>1012</v>
      </c>
      <c r="AO183" s="273" t="s">
        <v>1013</v>
      </c>
      <c r="AP183" s="616" t="s">
        <v>1014</v>
      </c>
      <c r="AQ183" s="637" t="s">
        <v>1015</v>
      </c>
      <c r="AR183" s="621"/>
      <c r="AS183" s="618"/>
      <c r="AU183" s="189"/>
      <c r="AV183" s="189"/>
      <c r="AW183" s="189"/>
      <c r="AX183" s="512">
        <f>107*33*33/1000000000</f>
        <v>1.16523E-4</v>
      </c>
      <c r="AY183" s="507">
        <f>AX183*F183</f>
        <v>0</v>
      </c>
      <c r="AZ183" s="189"/>
      <c r="BA183" s="189"/>
      <c r="BB183" s="189"/>
      <c r="BC183" s="517"/>
      <c r="BD183" s="189" t="s">
        <v>264</v>
      </c>
      <c r="BF183" s="499" t="s">
        <v>679</v>
      </c>
      <c r="BG183" s="442" t="s">
        <v>680</v>
      </c>
      <c r="BH183" s="442" t="s">
        <v>407</v>
      </c>
    </row>
    <row r="184" spans="1:62" ht="19.5" customHeight="1">
      <c r="A184" s="116">
        <v>4627186346306</v>
      </c>
      <c r="B184" s="100">
        <v>4338</v>
      </c>
      <c r="C184" s="251" t="s">
        <v>1016</v>
      </c>
      <c r="D184" s="826"/>
      <c r="E184" s="110"/>
      <c r="F184" s="249"/>
      <c r="G184" s="240"/>
      <c r="H184" s="190"/>
      <c r="I184" s="238"/>
      <c r="J184" s="238">
        <v>200</v>
      </c>
      <c r="K184" s="104">
        <f>J184*F184</f>
        <v>0</v>
      </c>
      <c r="L184" s="238">
        <f t="shared" si="78"/>
        <v>210</v>
      </c>
      <c r="M184" s="104">
        <f>L184*F184</f>
        <v>0</v>
      </c>
      <c r="N184" s="238">
        <f t="shared" si="75"/>
        <v>220</v>
      </c>
      <c r="O184" s="104">
        <f>N184*F184</f>
        <v>0</v>
      </c>
      <c r="P184" s="238">
        <f t="shared" si="76"/>
        <v>230</v>
      </c>
      <c r="Q184" s="104">
        <f>P184*F184</f>
        <v>0</v>
      </c>
      <c r="R184" s="238">
        <f t="shared" si="77"/>
        <v>250</v>
      </c>
      <c r="S184" s="104">
        <f>R184*F184</f>
        <v>0</v>
      </c>
      <c r="T184" s="105">
        <v>222</v>
      </c>
      <c r="U184" s="105">
        <f t="shared" ref="U184" si="81">T184*F184</f>
        <v>0</v>
      </c>
      <c r="V184" s="106"/>
      <c r="W184" s="301">
        <v>380</v>
      </c>
      <c r="Y184" s="567">
        <v>18</v>
      </c>
      <c r="Z184" s="189">
        <v>6</v>
      </c>
      <c r="AA184" s="541" t="s">
        <v>65</v>
      </c>
      <c r="AB184" s="537">
        <v>45118</v>
      </c>
      <c r="AC184" s="537">
        <v>47673</v>
      </c>
      <c r="AD184" s="717" t="s">
        <v>1017</v>
      </c>
      <c r="AE184" s="718" t="s">
        <v>67</v>
      </c>
      <c r="AF184" s="695"/>
      <c r="AG184" s="695"/>
      <c r="AH184" s="547"/>
      <c r="AI184" s="677" t="s">
        <v>1018</v>
      </c>
      <c r="AJ184" s="189" t="s">
        <v>1019</v>
      </c>
      <c r="AK184" s="568">
        <v>3401300000</v>
      </c>
      <c r="AM184" s="588"/>
      <c r="AN184" s="273"/>
      <c r="AO184" s="273"/>
      <c r="AP184" s="616"/>
      <c r="AQ184" s="637"/>
      <c r="AR184" s="621"/>
      <c r="AS184" s="618"/>
      <c r="AU184" s="189"/>
      <c r="AV184" s="189"/>
      <c r="AW184" s="189"/>
      <c r="AX184" s="512"/>
      <c r="AY184" s="507"/>
      <c r="AZ184" s="189"/>
      <c r="BA184" s="189"/>
      <c r="BB184" s="189"/>
      <c r="BC184" s="517"/>
      <c r="BD184" s="189"/>
      <c r="BG184" s="442"/>
      <c r="BH184" s="442"/>
    </row>
    <row r="185" spans="1:62" ht="22.5" customHeight="1">
      <c r="A185" s="116">
        <v>4627101829598</v>
      </c>
      <c r="B185" s="100">
        <v>3274</v>
      </c>
      <c r="C185" s="251" t="s">
        <v>1020</v>
      </c>
      <c r="D185" s="826"/>
      <c r="E185" s="110" t="s">
        <v>822</v>
      </c>
      <c r="F185" s="249"/>
      <c r="G185" s="240"/>
      <c r="H185" s="190"/>
      <c r="I185" s="238"/>
      <c r="J185" s="238">
        <v>150</v>
      </c>
      <c r="K185" s="104">
        <f t="shared" si="67"/>
        <v>0</v>
      </c>
      <c r="L185" s="238">
        <f t="shared" si="78"/>
        <v>157.5</v>
      </c>
      <c r="M185" s="104">
        <f>L185*F185</f>
        <v>0</v>
      </c>
      <c r="N185" s="238">
        <f t="shared" si="75"/>
        <v>165</v>
      </c>
      <c r="O185" s="104">
        <f>N185*F185</f>
        <v>0</v>
      </c>
      <c r="P185" s="238">
        <f t="shared" si="76"/>
        <v>172.5</v>
      </c>
      <c r="Q185" s="104">
        <f>P185*F185</f>
        <v>0</v>
      </c>
      <c r="R185" s="238">
        <f t="shared" si="77"/>
        <v>187.5</v>
      </c>
      <c r="S185" s="104">
        <f>R185*F185</f>
        <v>0</v>
      </c>
      <c r="T185" s="358">
        <v>65</v>
      </c>
      <c r="U185" s="358">
        <f t="shared" si="79"/>
        <v>0</v>
      </c>
      <c r="V185" s="106"/>
      <c r="W185" s="301">
        <v>285</v>
      </c>
      <c r="Y185" s="567">
        <v>12</v>
      </c>
      <c r="Z185" s="189">
        <v>3</v>
      </c>
      <c r="AA185" s="541" t="s">
        <v>442</v>
      </c>
      <c r="AB185" s="537">
        <v>44553</v>
      </c>
      <c r="AC185" s="537">
        <v>46378</v>
      </c>
      <c r="AD185" s="718" t="s">
        <v>924</v>
      </c>
      <c r="AE185" s="718" t="s">
        <v>67</v>
      </c>
      <c r="AF185" s="695" t="s">
        <v>1021</v>
      </c>
      <c r="AG185" s="695" t="s">
        <v>1022</v>
      </c>
      <c r="AH185" s="547"/>
      <c r="AI185" s="483" t="s">
        <v>825</v>
      </c>
      <c r="AJ185" s="189"/>
      <c r="AK185" s="568">
        <v>3304990000</v>
      </c>
      <c r="AM185" s="588" t="s">
        <v>1023</v>
      </c>
      <c r="AN185" s="273" t="s">
        <v>1024</v>
      </c>
      <c r="AO185" s="273" t="s">
        <v>1025</v>
      </c>
      <c r="AP185" s="616" t="s">
        <v>1026</v>
      </c>
      <c r="AQ185" s="637" t="s">
        <v>1027</v>
      </c>
      <c r="AR185" s="621"/>
      <c r="AS185" s="618"/>
      <c r="AU185" s="189"/>
      <c r="AV185" s="189"/>
      <c r="AW185" s="189"/>
      <c r="AX185" s="512"/>
      <c r="AY185" s="507">
        <f>AX185*F185</f>
        <v>0</v>
      </c>
      <c r="AZ185" s="189"/>
      <c r="BA185" s="189"/>
      <c r="BB185" s="189"/>
      <c r="BC185" s="517"/>
      <c r="BD185" s="189"/>
      <c r="BG185" s="442"/>
      <c r="BH185" s="442"/>
    </row>
    <row r="186" spans="1:62" ht="22.5" customHeight="1">
      <c r="A186" s="116">
        <v>4627101827792</v>
      </c>
      <c r="B186" s="100">
        <v>2686</v>
      </c>
      <c r="C186" s="251" t="s">
        <v>1028</v>
      </c>
      <c r="D186" s="826"/>
      <c r="E186" s="110" t="s">
        <v>304</v>
      </c>
      <c r="F186" s="249"/>
      <c r="G186" s="240"/>
      <c r="H186" s="190"/>
      <c r="I186" s="238"/>
      <c r="J186" s="238">
        <v>320</v>
      </c>
      <c r="K186" s="104">
        <f t="shared" si="67"/>
        <v>0</v>
      </c>
      <c r="L186" s="238">
        <f t="shared" si="78"/>
        <v>336</v>
      </c>
      <c r="M186" s="104">
        <f>F186*L186</f>
        <v>0</v>
      </c>
      <c r="N186" s="238">
        <f t="shared" si="75"/>
        <v>352</v>
      </c>
      <c r="O186" s="104">
        <f>F186*N186</f>
        <v>0</v>
      </c>
      <c r="P186" s="238">
        <f t="shared" si="76"/>
        <v>368</v>
      </c>
      <c r="Q186" s="104">
        <f>F186*P186</f>
        <v>0</v>
      </c>
      <c r="R186" s="238">
        <f t="shared" si="77"/>
        <v>400</v>
      </c>
      <c r="S186" s="104">
        <f>F186*R186</f>
        <v>0</v>
      </c>
      <c r="T186" s="105">
        <v>160</v>
      </c>
      <c r="U186" s="105">
        <f t="shared" si="79"/>
        <v>0</v>
      </c>
      <c r="V186" s="106"/>
      <c r="W186" s="301">
        <v>605</v>
      </c>
      <c r="Y186" s="567">
        <v>12</v>
      </c>
      <c r="Z186" s="189">
        <v>3</v>
      </c>
      <c r="AA186" s="541" t="s">
        <v>442</v>
      </c>
      <c r="AB186" s="537">
        <v>44553</v>
      </c>
      <c r="AC186" s="537">
        <v>46378</v>
      </c>
      <c r="AD186" s="718" t="s">
        <v>924</v>
      </c>
      <c r="AE186" s="718" t="s">
        <v>67</v>
      </c>
      <c r="AF186" s="695" t="s">
        <v>1021</v>
      </c>
      <c r="AG186" s="695" t="s">
        <v>1022</v>
      </c>
      <c r="AH186" s="547" t="s">
        <v>1029</v>
      </c>
      <c r="AI186" s="684" t="s">
        <v>1030</v>
      </c>
      <c r="AJ186" s="189"/>
      <c r="AK186" s="568">
        <v>3304990000</v>
      </c>
      <c r="AM186" s="588" t="s">
        <v>1023</v>
      </c>
      <c r="AN186" s="273" t="s">
        <v>1024</v>
      </c>
      <c r="AO186" s="273" t="s">
        <v>1025</v>
      </c>
      <c r="AP186" s="616" t="s">
        <v>1031</v>
      </c>
      <c r="AQ186" s="637" t="s">
        <v>1027</v>
      </c>
      <c r="AR186" s="621"/>
      <c r="AS186" s="618"/>
      <c r="AU186" s="189"/>
      <c r="AV186" s="189"/>
      <c r="AW186" s="189"/>
      <c r="AX186" s="512">
        <f>167*52*34/1000000000</f>
        <v>2.9525599999999998E-4</v>
      </c>
      <c r="AY186" s="507">
        <f>AX186*F186</f>
        <v>0</v>
      </c>
      <c r="AZ186" s="189"/>
      <c r="BA186" s="189"/>
      <c r="BB186" s="189"/>
      <c r="BC186" s="517"/>
      <c r="BD186" s="189" t="s">
        <v>315</v>
      </c>
      <c r="BF186" s="445"/>
      <c r="BG186" s="442"/>
      <c r="BH186" s="442"/>
    </row>
    <row r="187" spans="1:62" ht="22.5" customHeight="1">
      <c r="A187" s="116">
        <v>4627186340148</v>
      </c>
      <c r="B187" s="100">
        <v>3389</v>
      </c>
      <c r="C187" s="251" t="s">
        <v>1032</v>
      </c>
      <c r="D187" s="826"/>
      <c r="E187" s="110" t="s">
        <v>304</v>
      </c>
      <c r="F187" s="254"/>
      <c r="G187" s="240"/>
      <c r="H187" s="190"/>
      <c r="I187" s="238"/>
      <c r="J187" s="238">
        <v>310</v>
      </c>
      <c r="K187" s="104">
        <f t="shared" si="67"/>
        <v>0</v>
      </c>
      <c r="L187" s="238">
        <f t="shared" si="78"/>
        <v>325.5</v>
      </c>
      <c r="M187" s="104">
        <f>L187*F187</f>
        <v>0</v>
      </c>
      <c r="N187" s="238">
        <f t="shared" si="75"/>
        <v>341</v>
      </c>
      <c r="O187" s="104">
        <f>N187*F187</f>
        <v>0</v>
      </c>
      <c r="P187" s="238">
        <f t="shared" si="76"/>
        <v>356.5</v>
      </c>
      <c r="Q187" s="104">
        <f>P187*F187</f>
        <v>0</v>
      </c>
      <c r="R187" s="238">
        <f t="shared" si="77"/>
        <v>387.5</v>
      </c>
      <c r="S187" s="104">
        <f>R187*F187</f>
        <v>0</v>
      </c>
      <c r="T187" s="479">
        <v>205</v>
      </c>
      <c r="U187" s="105">
        <f t="shared" si="79"/>
        <v>0</v>
      </c>
      <c r="V187" s="106"/>
      <c r="W187" s="301">
        <v>585</v>
      </c>
      <c r="Y187" s="572">
        <v>18</v>
      </c>
      <c r="Z187" s="481">
        <v>6</v>
      </c>
      <c r="AA187" s="775" t="s">
        <v>463</v>
      </c>
      <c r="AB187" s="538">
        <v>44167</v>
      </c>
      <c r="AC187" s="538">
        <v>45992</v>
      </c>
      <c r="AD187" s="719" t="s">
        <v>464</v>
      </c>
      <c r="AE187" s="718" t="s">
        <v>67</v>
      </c>
      <c r="AF187" s="695" t="s">
        <v>1033</v>
      </c>
      <c r="AG187" s="695" t="s">
        <v>1034</v>
      </c>
      <c r="AH187" s="549" t="s">
        <v>475</v>
      </c>
      <c r="AI187" s="684" t="s">
        <v>1030</v>
      </c>
      <c r="AJ187" s="189"/>
      <c r="AK187" s="568">
        <v>3401300000</v>
      </c>
      <c r="AM187" s="588" t="s">
        <v>1035</v>
      </c>
      <c r="AN187" s="273" t="s">
        <v>1036</v>
      </c>
      <c r="AO187" s="273" t="s">
        <v>1037</v>
      </c>
      <c r="AP187" s="616" t="s">
        <v>1038</v>
      </c>
      <c r="AQ187" s="637" t="s">
        <v>1039</v>
      </c>
      <c r="AR187" s="621"/>
      <c r="AS187" s="618"/>
      <c r="AU187" s="189"/>
      <c r="AV187" s="189"/>
      <c r="AW187" s="189"/>
      <c r="AX187" s="512"/>
      <c r="AY187" s="507">
        <f>AX187*F187</f>
        <v>0</v>
      </c>
      <c r="AZ187" s="189"/>
      <c r="BA187" s="189"/>
      <c r="BB187" s="189"/>
      <c r="BC187" s="517"/>
      <c r="BD187" s="189"/>
      <c r="BF187" s="445"/>
      <c r="BG187" s="442"/>
      <c r="BH187" s="442"/>
    </row>
    <row r="188" spans="1:62" ht="20.25" customHeight="1">
      <c r="A188" s="116">
        <v>4627186341299</v>
      </c>
      <c r="B188" s="100">
        <v>3706</v>
      </c>
      <c r="C188" s="251" t="s">
        <v>1040</v>
      </c>
      <c r="D188" s="826"/>
      <c r="E188" s="110" t="s">
        <v>304</v>
      </c>
      <c r="F188" s="254"/>
      <c r="G188" s="240"/>
      <c r="H188" s="190"/>
      <c r="I188" s="238"/>
      <c r="J188" s="238">
        <v>350</v>
      </c>
      <c r="K188" s="104">
        <f>J188*F188</f>
        <v>0</v>
      </c>
      <c r="L188" s="238">
        <f t="shared" si="78"/>
        <v>367.5</v>
      </c>
      <c r="M188" s="104">
        <f>L188*F188</f>
        <v>0</v>
      </c>
      <c r="N188" s="238">
        <f t="shared" si="75"/>
        <v>385</v>
      </c>
      <c r="O188" s="104">
        <f>N188*F188</f>
        <v>0</v>
      </c>
      <c r="P188" s="238">
        <f t="shared" si="76"/>
        <v>402.5</v>
      </c>
      <c r="Q188" s="104">
        <f>P188*F188</f>
        <v>0</v>
      </c>
      <c r="R188" s="238">
        <f t="shared" si="77"/>
        <v>437.5</v>
      </c>
      <c r="S188" s="104">
        <f>R188*F188</f>
        <v>0</v>
      </c>
      <c r="T188" s="479">
        <v>209</v>
      </c>
      <c r="U188" s="105">
        <f t="shared" si="79"/>
        <v>0</v>
      </c>
      <c r="V188" s="106"/>
      <c r="W188" s="301">
        <v>665</v>
      </c>
      <c r="Y188" s="572">
        <v>18</v>
      </c>
      <c r="Z188" s="481">
        <v>6</v>
      </c>
      <c r="AA188" s="775" t="s">
        <v>463</v>
      </c>
      <c r="AB188" s="538">
        <v>44167</v>
      </c>
      <c r="AC188" s="538">
        <v>45992</v>
      </c>
      <c r="AD188" s="719" t="s">
        <v>464</v>
      </c>
      <c r="AE188" s="718" t="s">
        <v>67</v>
      </c>
      <c r="AF188" s="695" t="s">
        <v>1033</v>
      </c>
      <c r="AG188" s="695" t="s">
        <v>1034</v>
      </c>
      <c r="AH188" s="548" t="s">
        <v>466</v>
      </c>
      <c r="AI188" s="684" t="s">
        <v>1041</v>
      </c>
      <c r="AJ188" s="189"/>
      <c r="AK188" s="568">
        <v>3401300000</v>
      </c>
      <c r="AM188" s="588" t="s">
        <v>1035</v>
      </c>
      <c r="AN188" s="273" t="s">
        <v>1036</v>
      </c>
      <c r="AO188" s="273" t="s">
        <v>1042</v>
      </c>
      <c r="AP188" s="616" t="s">
        <v>1043</v>
      </c>
      <c r="AQ188" s="637" t="s">
        <v>1044</v>
      </c>
      <c r="AR188" s="621"/>
      <c r="AS188" s="618"/>
      <c r="AU188" s="189"/>
      <c r="AV188" s="189"/>
      <c r="AW188" s="189"/>
      <c r="AX188" s="512"/>
      <c r="AY188" s="507">
        <f>AX188*F188</f>
        <v>0</v>
      </c>
      <c r="AZ188" s="189"/>
      <c r="BA188" s="189"/>
      <c r="BB188" s="189"/>
      <c r="BC188" s="517"/>
      <c r="BD188" s="189"/>
      <c r="BF188" s="445"/>
      <c r="BG188" s="442"/>
      <c r="BH188" s="442"/>
    </row>
    <row r="189" spans="1:62" ht="25.5" customHeight="1">
      <c r="A189" s="485" t="s">
        <v>156</v>
      </c>
      <c r="B189" s="333"/>
      <c r="C189" s="271" t="s">
        <v>1045</v>
      </c>
      <c r="D189" s="827"/>
      <c r="E189" s="270"/>
      <c r="F189" s="493"/>
      <c r="G189" s="359"/>
      <c r="H189" s="360"/>
      <c r="I189" s="357"/>
      <c r="J189" s="357"/>
      <c r="K189" s="488">
        <f>K190+K191+K192+K193+K194+K195+K196</f>
        <v>0</v>
      </c>
      <c r="L189" s="489"/>
      <c r="M189" s="488">
        <f>M190+M191+M192+M193+M194+M195+M196</f>
        <v>0</v>
      </c>
      <c r="N189" s="489"/>
      <c r="O189" s="488">
        <f>O190+O191+O192+O193+O194+O195+O196</f>
        <v>0</v>
      </c>
      <c r="P189" s="489"/>
      <c r="Q189" s="488">
        <f>S191+Q190+Q191+Q192+Q193+Q194+Q195+Q196</f>
        <v>0</v>
      </c>
      <c r="R189" s="489"/>
      <c r="S189" s="488">
        <f>S190+S191+S192+S193+S194+S195+S196</f>
        <v>0</v>
      </c>
      <c r="T189" s="346"/>
      <c r="U189" s="346">
        <f>U190+U191+U192+U193+U194+U195+U196</f>
        <v>0</v>
      </c>
      <c r="V189" s="293"/>
      <c r="W189" s="293"/>
      <c r="Y189" s="562"/>
      <c r="Z189" s="293"/>
      <c r="AA189" s="772"/>
      <c r="AB189" s="543"/>
      <c r="AC189" s="543"/>
      <c r="AD189" s="716"/>
      <c r="AE189" s="716"/>
      <c r="AF189" s="701"/>
      <c r="AG189" s="701"/>
      <c r="AH189" s="546"/>
      <c r="AI189" s="675"/>
      <c r="AJ189" s="293"/>
      <c r="AK189" s="563"/>
      <c r="AL189" s="554"/>
      <c r="AM189" s="562"/>
      <c r="AN189" s="293"/>
      <c r="AO189" s="293"/>
      <c r="AP189" s="293"/>
      <c r="AQ189" s="293"/>
      <c r="AR189" s="293"/>
      <c r="AS189" s="563"/>
      <c r="AU189" s="293"/>
      <c r="AV189" s="293"/>
      <c r="AW189" s="293"/>
      <c r="AX189" s="293"/>
      <c r="AY189" s="293"/>
      <c r="AZ189" s="293"/>
      <c r="BA189" s="293"/>
      <c r="BB189" s="293"/>
      <c r="BC189" s="293"/>
      <c r="BD189" s="293"/>
      <c r="BF189" s="445"/>
    </row>
    <row r="190" spans="1:62" ht="24.75" customHeight="1">
      <c r="A190" s="116">
        <v>4627101826771</v>
      </c>
      <c r="B190" s="100">
        <v>2471</v>
      </c>
      <c r="C190" s="376" t="s">
        <v>1046</v>
      </c>
      <c r="D190" s="832"/>
      <c r="E190" s="110" t="s">
        <v>1047</v>
      </c>
      <c r="F190" s="249"/>
      <c r="G190" s="240"/>
      <c r="H190" s="190"/>
      <c r="I190" s="238"/>
      <c r="J190" s="238">
        <v>280</v>
      </c>
      <c r="K190" s="104">
        <f t="shared" ref="K190:K194" si="82">J190*F190</f>
        <v>0</v>
      </c>
      <c r="L190" s="238">
        <f t="shared" ref="L190:L194" si="83">J190+J190*5%</f>
        <v>294</v>
      </c>
      <c r="M190" s="104">
        <f t="shared" ref="M190:M194" si="84">L190*F190</f>
        <v>0</v>
      </c>
      <c r="N190" s="238">
        <f t="shared" ref="N190:N194" si="85">J190+J190*10%</f>
        <v>308</v>
      </c>
      <c r="O190" s="104">
        <f t="shared" ref="O190:O194" si="86">N190*F190</f>
        <v>0</v>
      </c>
      <c r="P190" s="238">
        <f t="shared" ref="P190:P194" si="87">J190+J190*15%</f>
        <v>322</v>
      </c>
      <c r="Q190" s="104">
        <f t="shared" ref="Q190:Q194" si="88">P190*F190</f>
        <v>0</v>
      </c>
      <c r="R190" s="238">
        <f t="shared" ref="R190:R194" si="89">J190+J190*25%</f>
        <v>350</v>
      </c>
      <c r="S190" s="104">
        <f t="shared" ref="S190:S194" si="90">R190*F190</f>
        <v>0</v>
      </c>
      <c r="T190" s="105">
        <v>61</v>
      </c>
      <c r="U190" s="105">
        <f t="shared" ref="U190:U194" si="91">T190*F190</f>
        <v>0</v>
      </c>
      <c r="V190" s="106"/>
      <c r="W190" s="301">
        <v>530</v>
      </c>
      <c r="Y190" s="567">
        <v>12</v>
      </c>
      <c r="Z190" s="189">
        <v>2</v>
      </c>
      <c r="AA190" s="778" t="s">
        <v>1048</v>
      </c>
      <c r="AB190" s="843">
        <v>45119</v>
      </c>
      <c r="AC190" s="843">
        <v>47675</v>
      </c>
      <c r="AD190" s="717" t="s">
        <v>1049</v>
      </c>
      <c r="AE190" s="718" t="s">
        <v>67</v>
      </c>
      <c r="AF190" s="700" t="s">
        <v>1050</v>
      </c>
      <c r="AG190" s="700" t="s">
        <v>1051</v>
      </c>
      <c r="AH190" s="547" t="s">
        <v>445</v>
      </c>
      <c r="AI190" s="483" t="s">
        <v>1052</v>
      </c>
      <c r="AJ190" s="483" t="s">
        <v>1053</v>
      </c>
      <c r="AK190" s="568">
        <v>3304990000</v>
      </c>
      <c r="AM190" s="588" t="s">
        <v>1054</v>
      </c>
      <c r="AN190" s="273" t="s">
        <v>1055</v>
      </c>
      <c r="AO190" s="273" t="s">
        <v>1056</v>
      </c>
      <c r="AP190" s="616" t="s">
        <v>1057</v>
      </c>
      <c r="AQ190" s="637" t="s">
        <v>1058</v>
      </c>
      <c r="AR190" s="621"/>
      <c r="AS190" s="618"/>
      <c r="AU190" s="189"/>
      <c r="AV190" s="189"/>
      <c r="AW190" s="189"/>
      <c r="AX190" s="512">
        <f>107*33*33/1000000000</f>
        <v>1.16523E-4</v>
      </c>
      <c r="AY190" s="507">
        <f t="shared" ref="AY190:AY194" si="92">AX190*F190</f>
        <v>0</v>
      </c>
      <c r="AZ190" s="189"/>
      <c r="BA190" s="189"/>
      <c r="BB190" s="189"/>
      <c r="BC190" s="517"/>
      <c r="BD190" s="189"/>
      <c r="BF190" s="499" t="s">
        <v>679</v>
      </c>
      <c r="BG190" s="442" t="s">
        <v>680</v>
      </c>
      <c r="BH190" s="442" t="s">
        <v>407</v>
      </c>
    </row>
    <row r="191" spans="1:62" ht="24.75" customHeight="1">
      <c r="A191" s="116">
        <v>4627101826788</v>
      </c>
      <c r="B191" s="100">
        <v>2472</v>
      </c>
      <c r="C191" s="376" t="s">
        <v>1059</v>
      </c>
      <c r="D191" s="832"/>
      <c r="E191" s="110" t="s">
        <v>1047</v>
      </c>
      <c r="F191" s="249"/>
      <c r="G191" s="240"/>
      <c r="H191" s="190"/>
      <c r="I191" s="238"/>
      <c r="J191" s="315">
        <v>320</v>
      </c>
      <c r="K191" s="104">
        <f t="shared" si="82"/>
        <v>0</v>
      </c>
      <c r="L191" s="238">
        <f t="shared" si="83"/>
        <v>336</v>
      </c>
      <c r="M191" s="104">
        <f t="shared" si="84"/>
        <v>0</v>
      </c>
      <c r="N191" s="238">
        <f t="shared" si="85"/>
        <v>352</v>
      </c>
      <c r="O191" s="104">
        <f t="shared" si="86"/>
        <v>0</v>
      </c>
      <c r="P191" s="238">
        <f t="shared" si="87"/>
        <v>368</v>
      </c>
      <c r="Q191" s="104">
        <f t="shared" si="88"/>
        <v>0</v>
      </c>
      <c r="R191" s="238">
        <f t="shared" si="89"/>
        <v>400</v>
      </c>
      <c r="S191" s="104">
        <f t="shared" si="90"/>
        <v>0</v>
      </c>
      <c r="T191" s="105">
        <v>61</v>
      </c>
      <c r="U191" s="105">
        <f t="shared" si="91"/>
        <v>0</v>
      </c>
      <c r="V191" s="106"/>
      <c r="W191" s="301">
        <v>605</v>
      </c>
      <c r="Y191" s="567">
        <v>12</v>
      </c>
      <c r="Z191" s="189">
        <v>2</v>
      </c>
      <c r="AA191" s="778" t="s">
        <v>1048</v>
      </c>
      <c r="AB191" s="843">
        <v>45119</v>
      </c>
      <c r="AC191" s="843">
        <v>47675</v>
      </c>
      <c r="AD191" s="717" t="s">
        <v>1060</v>
      </c>
      <c r="AE191" s="718" t="s">
        <v>67</v>
      </c>
      <c r="AF191" s="700" t="s">
        <v>1050</v>
      </c>
      <c r="AG191" s="700" t="s">
        <v>1051</v>
      </c>
      <c r="AH191" s="547" t="s">
        <v>445</v>
      </c>
      <c r="AI191" s="483" t="s">
        <v>1052</v>
      </c>
      <c r="AJ191" s="483" t="s">
        <v>1053</v>
      </c>
      <c r="AK191" s="568">
        <v>3304990000</v>
      </c>
      <c r="AM191" s="588" t="s">
        <v>1061</v>
      </c>
      <c r="AN191" s="273" t="s">
        <v>1062</v>
      </c>
      <c r="AO191" s="273" t="s">
        <v>1063</v>
      </c>
      <c r="AP191" s="616" t="s">
        <v>1064</v>
      </c>
      <c r="AQ191" s="637" t="s">
        <v>1065</v>
      </c>
      <c r="AR191" s="621"/>
      <c r="AS191" s="618"/>
      <c r="AU191" s="189"/>
      <c r="AV191" s="189"/>
      <c r="AW191" s="189"/>
      <c r="AX191" s="512">
        <f>107*33*33/1000000000</f>
        <v>1.16523E-4</v>
      </c>
      <c r="AY191" s="507">
        <f t="shared" si="92"/>
        <v>0</v>
      </c>
      <c r="AZ191" s="189"/>
      <c r="BA191" s="189"/>
      <c r="BB191" s="189"/>
      <c r="BC191" s="517"/>
      <c r="BD191" s="189"/>
      <c r="BF191" s="499" t="s">
        <v>679</v>
      </c>
      <c r="BG191" s="442" t="s">
        <v>680</v>
      </c>
      <c r="BH191" s="442" t="s">
        <v>407</v>
      </c>
    </row>
    <row r="192" spans="1:62" ht="19.5" customHeight="1">
      <c r="A192" s="116">
        <v>4627101826795</v>
      </c>
      <c r="B192" s="100">
        <v>2473</v>
      </c>
      <c r="C192" s="376" t="s">
        <v>1066</v>
      </c>
      <c r="D192" s="832"/>
      <c r="E192" s="110" t="s">
        <v>208</v>
      </c>
      <c r="F192" s="249"/>
      <c r="G192" s="240"/>
      <c r="H192" s="190"/>
      <c r="I192" s="238"/>
      <c r="J192" s="238">
        <v>360</v>
      </c>
      <c r="K192" s="104">
        <f t="shared" si="82"/>
        <v>0</v>
      </c>
      <c r="L192" s="238">
        <f t="shared" si="83"/>
        <v>378</v>
      </c>
      <c r="M192" s="104">
        <f t="shared" si="84"/>
        <v>0</v>
      </c>
      <c r="N192" s="238">
        <f t="shared" si="85"/>
        <v>396</v>
      </c>
      <c r="O192" s="104">
        <f t="shared" si="86"/>
        <v>0</v>
      </c>
      <c r="P192" s="238">
        <f t="shared" si="87"/>
        <v>414</v>
      </c>
      <c r="Q192" s="104">
        <f t="shared" si="88"/>
        <v>0</v>
      </c>
      <c r="R192" s="238">
        <f t="shared" si="89"/>
        <v>450</v>
      </c>
      <c r="S192" s="104">
        <f t="shared" si="90"/>
        <v>0</v>
      </c>
      <c r="T192" s="105">
        <v>42</v>
      </c>
      <c r="U192" s="105">
        <f t="shared" si="91"/>
        <v>0</v>
      </c>
      <c r="V192" s="106"/>
      <c r="W192" s="301">
        <v>680</v>
      </c>
      <c r="Y192" s="567">
        <v>12</v>
      </c>
      <c r="Z192" s="189">
        <v>3</v>
      </c>
      <c r="AA192" s="778" t="s">
        <v>1048</v>
      </c>
      <c r="AB192" s="843">
        <v>45119</v>
      </c>
      <c r="AC192" s="843">
        <v>47675</v>
      </c>
      <c r="AD192" s="717" t="s">
        <v>1067</v>
      </c>
      <c r="AE192" s="718" t="s">
        <v>67</v>
      </c>
      <c r="AF192" s="700" t="s">
        <v>1050</v>
      </c>
      <c r="AG192" s="700" t="s">
        <v>360</v>
      </c>
      <c r="AH192" s="547" t="s">
        <v>445</v>
      </c>
      <c r="AI192" s="483" t="s">
        <v>1068</v>
      </c>
      <c r="AJ192" s="483" t="s">
        <v>1053</v>
      </c>
      <c r="AK192" s="568">
        <v>3304990000</v>
      </c>
      <c r="AM192" s="610" t="s">
        <v>1069</v>
      </c>
      <c r="AN192" s="611" t="s">
        <v>1070</v>
      </c>
      <c r="AO192" s="611" t="s">
        <v>1071</v>
      </c>
      <c r="AP192" s="616" t="s">
        <v>1072</v>
      </c>
      <c r="AQ192" s="637" t="s">
        <v>1073</v>
      </c>
      <c r="AR192" s="621"/>
      <c r="AS192" s="618"/>
      <c r="AU192" s="189"/>
      <c r="AV192" s="189"/>
      <c r="AW192" s="189"/>
      <c r="AX192" s="512">
        <f>125*37*37/1000000000</f>
        <v>1.71125E-4</v>
      </c>
      <c r="AY192" s="507">
        <f t="shared" si="92"/>
        <v>0</v>
      </c>
      <c r="AZ192" s="189"/>
      <c r="BA192" s="189"/>
      <c r="BB192" s="189"/>
      <c r="BC192" s="517"/>
      <c r="BD192" s="189"/>
      <c r="BG192" s="442" t="s">
        <v>945</v>
      </c>
      <c r="BH192" s="442" t="s">
        <v>407</v>
      </c>
    </row>
    <row r="193" spans="1:62" ht="21.75" customHeight="1">
      <c r="A193" s="116">
        <v>4627101826801</v>
      </c>
      <c r="B193" s="100">
        <v>2474</v>
      </c>
      <c r="C193" s="376" t="s">
        <v>1074</v>
      </c>
      <c r="D193" s="832"/>
      <c r="E193" s="110" t="s">
        <v>208</v>
      </c>
      <c r="F193" s="249"/>
      <c r="G193" s="240"/>
      <c r="H193" s="190"/>
      <c r="I193" s="238"/>
      <c r="J193" s="238">
        <v>375</v>
      </c>
      <c r="K193" s="104">
        <f t="shared" si="82"/>
        <v>0</v>
      </c>
      <c r="L193" s="238">
        <f t="shared" si="83"/>
        <v>393.75</v>
      </c>
      <c r="M193" s="104">
        <f t="shared" si="84"/>
        <v>0</v>
      </c>
      <c r="N193" s="238">
        <f t="shared" si="85"/>
        <v>412.5</v>
      </c>
      <c r="O193" s="104">
        <f t="shared" si="86"/>
        <v>0</v>
      </c>
      <c r="P193" s="238">
        <f t="shared" si="87"/>
        <v>431.25</v>
      </c>
      <c r="Q193" s="104">
        <f t="shared" si="88"/>
        <v>0</v>
      </c>
      <c r="R193" s="238">
        <f t="shared" si="89"/>
        <v>468.75</v>
      </c>
      <c r="S193" s="104">
        <f t="shared" si="90"/>
        <v>0</v>
      </c>
      <c r="T193" s="105">
        <v>42</v>
      </c>
      <c r="U193" s="105">
        <f t="shared" si="91"/>
        <v>0</v>
      </c>
      <c r="V193" s="106"/>
      <c r="W193" s="301">
        <v>710</v>
      </c>
      <c r="Y193" s="567">
        <v>12</v>
      </c>
      <c r="Z193" s="189">
        <v>3</v>
      </c>
      <c r="AA193" s="778" t="s">
        <v>1048</v>
      </c>
      <c r="AB193" s="843">
        <v>45119</v>
      </c>
      <c r="AC193" s="843">
        <v>47675</v>
      </c>
      <c r="AD193" s="717" t="s">
        <v>1075</v>
      </c>
      <c r="AE193" s="718" t="s">
        <v>67</v>
      </c>
      <c r="AF193" s="700" t="s">
        <v>1050</v>
      </c>
      <c r="AG193" s="700" t="s">
        <v>360</v>
      </c>
      <c r="AH193" s="547" t="s">
        <v>445</v>
      </c>
      <c r="AI193" s="483" t="s">
        <v>1068</v>
      </c>
      <c r="AJ193" s="483" t="s">
        <v>1053</v>
      </c>
      <c r="AK193" s="568">
        <v>3304990000</v>
      </c>
      <c r="AM193" s="610" t="s">
        <v>1076</v>
      </c>
      <c r="AN193" s="611" t="s">
        <v>1077</v>
      </c>
      <c r="AO193" s="611" t="s">
        <v>1078</v>
      </c>
      <c r="AP193" s="616" t="s">
        <v>1079</v>
      </c>
      <c r="AQ193" s="637" t="s">
        <v>1080</v>
      </c>
      <c r="AR193" s="621"/>
      <c r="AS193" s="618"/>
      <c r="AU193" s="189"/>
      <c r="AV193" s="189"/>
      <c r="AW193" s="189"/>
      <c r="AX193" s="512">
        <f>125*37*37/1000000000</f>
        <v>1.71125E-4</v>
      </c>
      <c r="AY193" s="507">
        <f t="shared" si="92"/>
        <v>0</v>
      </c>
      <c r="AZ193" s="189"/>
      <c r="BA193" s="189"/>
      <c r="BB193" s="189"/>
      <c r="BC193" s="517"/>
      <c r="BD193" s="189"/>
      <c r="BG193" s="442" t="s">
        <v>945</v>
      </c>
      <c r="BH193" s="442" t="s">
        <v>407</v>
      </c>
    </row>
    <row r="194" spans="1:62" s="285" customFormat="1" ht="19.5" customHeight="1">
      <c r="A194" s="361">
        <v>4627101828805</v>
      </c>
      <c r="B194" s="375">
        <v>2826</v>
      </c>
      <c r="C194" s="376" t="s">
        <v>1081</v>
      </c>
      <c r="D194" s="832"/>
      <c r="E194" s="377" t="s">
        <v>304</v>
      </c>
      <c r="F194" s="378"/>
      <c r="G194" s="792"/>
      <c r="H194" s="379"/>
      <c r="I194" s="332"/>
      <c r="J194" s="332">
        <v>525</v>
      </c>
      <c r="K194" s="306">
        <f t="shared" si="82"/>
        <v>0</v>
      </c>
      <c r="L194" s="332">
        <f t="shared" si="83"/>
        <v>551.25</v>
      </c>
      <c r="M194" s="306">
        <f t="shared" si="84"/>
        <v>0</v>
      </c>
      <c r="N194" s="332">
        <f t="shared" si="85"/>
        <v>577.5</v>
      </c>
      <c r="O194" s="306">
        <f t="shared" si="86"/>
        <v>0</v>
      </c>
      <c r="P194" s="332">
        <f t="shared" si="87"/>
        <v>603.75</v>
      </c>
      <c r="Q194" s="306">
        <f t="shared" si="88"/>
        <v>0</v>
      </c>
      <c r="R194" s="332">
        <f t="shared" si="89"/>
        <v>656.25</v>
      </c>
      <c r="S194" s="306">
        <f t="shared" si="90"/>
        <v>0</v>
      </c>
      <c r="T194" s="332">
        <v>185</v>
      </c>
      <c r="U194" s="332">
        <f t="shared" si="91"/>
        <v>0</v>
      </c>
      <c r="V194" s="793"/>
      <c r="W194" s="391">
        <v>995</v>
      </c>
      <c r="Y194" s="795">
        <v>12</v>
      </c>
      <c r="Z194" s="221">
        <v>3</v>
      </c>
      <c r="AA194" s="778" t="s">
        <v>1082</v>
      </c>
      <c r="AB194" s="843">
        <v>44193</v>
      </c>
      <c r="AC194" s="843">
        <v>46018</v>
      </c>
      <c r="AD194" s="718" t="s">
        <v>1083</v>
      </c>
      <c r="AE194" s="796" t="s">
        <v>67</v>
      </c>
      <c r="AF194" s="797" t="s">
        <v>1050</v>
      </c>
      <c r="AG194" s="797" t="s">
        <v>360</v>
      </c>
      <c r="AH194" s="798" t="s">
        <v>1084</v>
      </c>
      <c r="AI194" s="483" t="s">
        <v>1085</v>
      </c>
      <c r="AJ194" s="799"/>
      <c r="AK194" s="574">
        <v>3304990000</v>
      </c>
      <c r="AL194" s="446"/>
      <c r="AM194" s="800" t="s">
        <v>1086</v>
      </c>
      <c r="AN194" s="801" t="s">
        <v>1087</v>
      </c>
      <c r="AO194" s="801" t="s">
        <v>1088</v>
      </c>
      <c r="AP194" s="802" t="s">
        <v>1089</v>
      </c>
      <c r="AQ194" s="803" t="s">
        <v>1090</v>
      </c>
      <c r="AR194" s="804"/>
      <c r="AS194" s="805"/>
      <c r="AU194" s="221"/>
      <c r="AV194" s="221"/>
      <c r="AW194" s="221"/>
      <c r="AX194" s="806">
        <f>137*51*34/1000000000</f>
        <v>2.3755799999999999E-4</v>
      </c>
      <c r="AY194" s="807">
        <f t="shared" si="92"/>
        <v>0</v>
      </c>
      <c r="AZ194" s="221"/>
      <c r="BA194" s="221"/>
      <c r="BB194" s="221"/>
      <c r="BC194" s="223"/>
      <c r="BD194" s="221"/>
      <c r="BF194" s="808"/>
      <c r="BI194" s="809" t="s">
        <v>318</v>
      </c>
      <c r="BJ194" s="810" t="s">
        <v>319</v>
      </c>
    </row>
    <row r="195" spans="1:62" ht="23.25" customHeight="1">
      <c r="A195" s="331">
        <v>4627101822063</v>
      </c>
      <c r="B195" s="108">
        <v>1182</v>
      </c>
      <c r="C195" s="376" t="s">
        <v>1091</v>
      </c>
      <c r="D195" s="832"/>
      <c r="E195" s="110" t="s">
        <v>287</v>
      </c>
      <c r="F195" s="248"/>
      <c r="G195" s="111"/>
      <c r="H195" s="111"/>
      <c r="I195" s="239"/>
      <c r="J195" s="315">
        <v>275</v>
      </c>
      <c r="K195" s="104">
        <f>J195*F195</f>
        <v>0</v>
      </c>
      <c r="L195" s="238">
        <f>J195+J195*5%</f>
        <v>288.75</v>
      </c>
      <c r="M195" s="104">
        <f>F195*L195</f>
        <v>0</v>
      </c>
      <c r="N195" s="238">
        <f>J195+J195*10%</f>
        <v>302.5</v>
      </c>
      <c r="O195" s="104">
        <f>F195*N195</f>
        <v>0</v>
      </c>
      <c r="P195" s="238">
        <f>J195+J195*15%</f>
        <v>316.25</v>
      </c>
      <c r="Q195" s="104">
        <f>F195*P195</f>
        <v>0</v>
      </c>
      <c r="R195" s="238">
        <f>J195+J195*25%</f>
        <v>343.75</v>
      </c>
      <c r="S195" s="104">
        <f>F195*R195</f>
        <v>0</v>
      </c>
      <c r="T195" s="105">
        <v>105</v>
      </c>
      <c r="U195" s="105">
        <f>T195*F195</f>
        <v>0</v>
      </c>
      <c r="V195" s="106"/>
      <c r="W195" s="301">
        <v>520</v>
      </c>
      <c r="Y195" s="567"/>
      <c r="Z195" s="189"/>
      <c r="AA195" s="778"/>
      <c r="AB195" s="537"/>
      <c r="AC195" s="537"/>
      <c r="AD195" s="718"/>
      <c r="AE195" s="718"/>
      <c r="AF195" s="700"/>
      <c r="AG195" s="700"/>
      <c r="AH195" s="547"/>
      <c r="AI195" s="483"/>
      <c r="AJ195" s="483"/>
      <c r="AK195" s="568"/>
      <c r="AM195" s="610"/>
      <c r="AN195" s="611"/>
      <c r="AO195" s="611"/>
      <c r="AP195" s="642"/>
      <c r="AQ195" s="637"/>
      <c r="AR195" s="643"/>
      <c r="AS195" s="644"/>
      <c r="AU195" s="189"/>
      <c r="AV195" s="189"/>
      <c r="AW195" s="189"/>
      <c r="AX195" s="512"/>
      <c r="AY195" s="507"/>
      <c r="AZ195" s="189"/>
      <c r="BA195" s="189"/>
      <c r="BB195" s="189"/>
      <c r="BC195" s="517"/>
      <c r="BD195" s="189"/>
      <c r="BF195" s="445"/>
    </row>
    <row r="196" spans="1:62" ht="23.25" customHeight="1">
      <c r="A196" s="331">
        <v>4627101822049</v>
      </c>
      <c r="B196" s="108">
        <v>1187</v>
      </c>
      <c r="C196" s="251" t="s">
        <v>1092</v>
      </c>
      <c r="D196" s="826"/>
      <c r="E196" s="110" t="s">
        <v>287</v>
      </c>
      <c r="F196" s="248"/>
      <c r="G196" s="111"/>
      <c r="H196" s="111"/>
      <c r="I196" s="239"/>
      <c r="J196" s="315">
        <v>265</v>
      </c>
      <c r="K196" s="104">
        <f>J196*F196</f>
        <v>0</v>
      </c>
      <c r="L196" s="238">
        <f t="shared" ref="L196" si="93">J196+J196*5%</f>
        <v>278.25</v>
      </c>
      <c r="M196" s="104">
        <f>F196*L196</f>
        <v>0</v>
      </c>
      <c r="N196" s="238">
        <f t="shared" ref="N196" si="94">J196+J196*10%</f>
        <v>291.5</v>
      </c>
      <c r="O196" s="104">
        <f>F196*N196</f>
        <v>0</v>
      </c>
      <c r="P196" s="238">
        <f t="shared" ref="P196" si="95">J196+J196*15%</f>
        <v>304.75</v>
      </c>
      <c r="Q196" s="104">
        <f>F196*P196</f>
        <v>0</v>
      </c>
      <c r="R196" s="238">
        <f t="shared" ref="R196" si="96">J196+J196*25%</f>
        <v>331.25</v>
      </c>
      <c r="S196" s="104">
        <f>F196*R196</f>
        <v>0</v>
      </c>
      <c r="T196" s="105">
        <v>110</v>
      </c>
      <c r="U196" s="105">
        <f>T196*F196</f>
        <v>0</v>
      </c>
      <c r="V196" s="106"/>
      <c r="W196" s="301">
        <v>500</v>
      </c>
      <c r="Y196" s="567"/>
      <c r="Z196" s="189"/>
      <c r="AA196" s="778" t="s">
        <v>1093</v>
      </c>
      <c r="AB196" s="537">
        <v>45119</v>
      </c>
      <c r="AC196" s="537">
        <v>47675</v>
      </c>
      <c r="AD196" s="717" t="s">
        <v>1094</v>
      </c>
      <c r="AE196" s="718"/>
      <c r="AF196" s="700"/>
      <c r="AG196" s="700"/>
      <c r="AH196" s="547"/>
      <c r="AI196" s="483"/>
      <c r="AJ196" s="483"/>
      <c r="AK196" s="568"/>
      <c r="AM196" s="610"/>
      <c r="AN196" s="611"/>
      <c r="AO196" s="611"/>
      <c r="AP196" s="642"/>
      <c r="AQ196" s="637"/>
      <c r="AR196" s="643"/>
      <c r="AS196" s="644"/>
      <c r="AU196" s="189"/>
      <c r="AV196" s="189"/>
      <c r="AW196" s="189"/>
      <c r="AX196" s="512"/>
      <c r="AY196" s="507"/>
      <c r="AZ196" s="189"/>
      <c r="BA196" s="189"/>
      <c r="BB196" s="189"/>
      <c r="BC196" s="517"/>
      <c r="BD196" s="189"/>
      <c r="BF196" s="445"/>
    </row>
    <row r="197" spans="1:62" ht="22.5" customHeight="1">
      <c r="A197" s="485" t="s">
        <v>156</v>
      </c>
      <c r="B197" s="333"/>
      <c r="C197" s="271" t="s">
        <v>1095</v>
      </c>
      <c r="D197" s="827"/>
      <c r="E197" s="270"/>
      <c r="F197" s="491"/>
      <c r="G197" s="289"/>
      <c r="H197" s="289"/>
      <c r="I197" s="356"/>
      <c r="J197" s="357"/>
      <c r="K197" s="488">
        <f>K198+K199+K200+K201+K202+K203+K204+K205+K206+K207+K208</f>
        <v>0</v>
      </c>
      <c r="L197" s="489"/>
      <c r="M197" s="488">
        <f>M198+M199+M200+M201+M202+M203+M204+M205+M206+M207+M208</f>
        <v>0</v>
      </c>
      <c r="N197" s="489"/>
      <c r="O197" s="488">
        <f>O198+O199+O200+O201+O202+O203+O204+O205+O206+O207+O208</f>
        <v>0</v>
      </c>
      <c r="P197" s="489"/>
      <c r="Q197" s="488">
        <f>Q198+Q199+Q200+Q201+Q202+Q203+Q204+Q205+Q206+Q207+Q208</f>
        <v>0</v>
      </c>
      <c r="R197" s="489"/>
      <c r="S197" s="488">
        <f>S198+S199+S200+S201+S202+S203+S204+S205+S206+S207+S208</f>
        <v>0</v>
      </c>
      <c r="T197" s="313"/>
      <c r="U197" s="313">
        <f>SUM(U198:U199)</f>
        <v>0</v>
      </c>
      <c r="V197" s="293"/>
      <c r="W197" s="293"/>
      <c r="Y197" s="562"/>
      <c r="Z197" s="293"/>
      <c r="AA197" s="772"/>
      <c r="AB197" s="543"/>
      <c r="AC197" s="543"/>
      <c r="AD197" s="716"/>
      <c r="AE197" s="716"/>
      <c r="AF197" s="701"/>
      <c r="AG197" s="701"/>
      <c r="AH197" s="546"/>
      <c r="AI197" s="675"/>
      <c r="AJ197" s="293"/>
      <c r="AK197" s="563"/>
      <c r="AL197" s="554"/>
      <c r="AM197" s="562"/>
      <c r="AN197" s="293"/>
      <c r="AO197" s="293"/>
      <c r="AP197" s="293"/>
      <c r="AQ197" s="293"/>
      <c r="AR197" s="293"/>
      <c r="AS197" s="563"/>
      <c r="AU197" s="293"/>
      <c r="AV197" s="293"/>
      <c r="AW197" s="293"/>
      <c r="AX197" s="293"/>
      <c r="AY197" s="293"/>
      <c r="AZ197" s="293"/>
      <c r="BA197" s="293"/>
      <c r="BB197" s="293"/>
      <c r="BC197" s="293"/>
      <c r="BD197" s="293"/>
      <c r="BF197" s="445"/>
    </row>
    <row r="198" spans="1:62" ht="21.75" customHeight="1">
      <c r="A198" s="116">
        <v>4620748862140</v>
      </c>
      <c r="B198" s="100">
        <v>1354</v>
      </c>
      <c r="C198" s="251" t="s">
        <v>1096</v>
      </c>
      <c r="D198" s="826"/>
      <c r="E198" s="110" t="s">
        <v>401</v>
      </c>
      <c r="F198" s="249"/>
      <c r="G198" s="190"/>
      <c r="H198" s="190"/>
      <c r="I198" s="238"/>
      <c r="J198" s="238">
        <v>345</v>
      </c>
      <c r="K198" s="104">
        <f t="shared" ref="K198:K199" si="97">J198*F198</f>
        <v>0</v>
      </c>
      <c r="L198" s="238">
        <f>J198+J198*5%</f>
        <v>362.25</v>
      </c>
      <c r="M198" s="104">
        <f t="shared" ref="M198:M199" si="98">F198*L198</f>
        <v>0</v>
      </c>
      <c r="N198" s="238">
        <f>J198+J198*10%</f>
        <v>379.5</v>
      </c>
      <c r="O198" s="104">
        <f t="shared" ref="O198:O199" si="99">F198*N198</f>
        <v>0</v>
      </c>
      <c r="P198" s="238">
        <f>J198+J198*15%</f>
        <v>396.75</v>
      </c>
      <c r="Q198" s="104">
        <f t="shared" ref="Q198:Q199" si="100">F198*P198</f>
        <v>0</v>
      </c>
      <c r="R198" s="238">
        <f>J198+J198*25%</f>
        <v>431.25</v>
      </c>
      <c r="S198" s="104">
        <f t="shared" ref="S198:S199" si="101">F198*R198</f>
        <v>0</v>
      </c>
      <c r="T198" s="105">
        <v>60</v>
      </c>
      <c r="U198" s="105">
        <f t="shared" ref="U198:U199" si="102">T198*F198</f>
        <v>0</v>
      </c>
      <c r="V198" s="106"/>
      <c r="W198" s="301">
        <v>655</v>
      </c>
      <c r="Y198" s="567">
        <v>12</v>
      </c>
      <c r="Z198" s="189">
        <v>3</v>
      </c>
      <c r="AA198" s="541" t="s">
        <v>934</v>
      </c>
      <c r="AB198" s="537">
        <v>43705</v>
      </c>
      <c r="AC198" s="537">
        <v>47278</v>
      </c>
      <c r="AD198" s="768" t="s">
        <v>935</v>
      </c>
      <c r="AE198" s="718" t="s">
        <v>67</v>
      </c>
      <c r="AF198" s="700"/>
      <c r="AG198" s="700"/>
      <c r="AH198" s="547" t="s">
        <v>1097</v>
      </c>
      <c r="AI198" s="478"/>
      <c r="AJ198" s="189"/>
      <c r="AK198" s="568">
        <v>3304990000</v>
      </c>
      <c r="AM198" s="610" t="s">
        <v>1098</v>
      </c>
      <c r="AN198" s="611" t="s">
        <v>1099</v>
      </c>
      <c r="AO198" s="611"/>
      <c r="AP198" s="616" t="s">
        <v>1100</v>
      </c>
      <c r="AQ198" s="637" t="s">
        <v>1101</v>
      </c>
      <c r="AR198" s="621"/>
      <c r="AS198" s="618"/>
      <c r="AU198" s="189"/>
      <c r="AV198" s="189"/>
      <c r="AW198" s="189"/>
      <c r="AX198" s="512">
        <f>112*33*33/1000000000</f>
        <v>1.21968E-4</v>
      </c>
      <c r="AY198" s="507">
        <f t="shared" ref="AY198:AY208" si="103">AX198*F198</f>
        <v>0</v>
      </c>
      <c r="AZ198" s="189"/>
      <c r="BA198" s="189"/>
      <c r="BB198" s="189"/>
      <c r="BC198" s="517"/>
      <c r="BD198" s="189"/>
      <c r="BG198" s="442" t="s">
        <v>680</v>
      </c>
      <c r="BH198" s="442" t="s">
        <v>407</v>
      </c>
    </row>
    <row r="199" spans="1:62" ht="20.25" customHeight="1">
      <c r="A199" s="116">
        <v>4620748862188</v>
      </c>
      <c r="B199" s="100">
        <v>1355</v>
      </c>
      <c r="C199" s="251" t="s">
        <v>1102</v>
      </c>
      <c r="D199" s="826"/>
      <c r="E199" s="110" t="s">
        <v>287</v>
      </c>
      <c r="F199" s="248"/>
      <c r="G199" s="190"/>
      <c r="H199" s="190"/>
      <c r="I199" s="238"/>
      <c r="J199" s="238">
        <v>250</v>
      </c>
      <c r="K199" s="104">
        <f t="shared" si="97"/>
        <v>0</v>
      </c>
      <c r="L199" s="238">
        <f t="shared" ref="L199" si="104">J199+J199*5%</f>
        <v>262.5</v>
      </c>
      <c r="M199" s="104">
        <f t="shared" si="98"/>
        <v>0</v>
      </c>
      <c r="N199" s="238">
        <f t="shared" ref="N199" si="105">J199+J199*10%</f>
        <v>275</v>
      </c>
      <c r="O199" s="104">
        <f t="shared" si="99"/>
        <v>0</v>
      </c>
      <c r="P199" s="238">
        <f t="shared" ref="P199" si="106">J199+J199*15%</f>
        <v>287.5</v>
      </c>
      <c r="Q199" s="104">
        <f t="shared" si="100"/>
        <v>0</v>
      </c>
      <c r="R199" s="238">
        <f t="shared" ref="R199" si="107">J199+J199*25%</f>
        <v>312.5</v>
      </c>
      <c r="S199" s="104">
        <f t="shared" si="101"/>
        <v>0</v>
      </c>
      <c r="T199" s="105">
        <v>120</v>
      </c>
      <c r="U199" s="105">
        <f t="shared" si="102"/>
        <v>0</v>
      </c>
      <c r="V199" s="106"/>
      <c r="W199" s="301">
        <v>475</v>
      </c>
      <c r="Y199" s="567">
        <v>9</v>
      </c>
      <c r="Z199" s="189">
        <v>6</v>
      </c>
      <c r="AA199" s="541" t="s">
        <v>934</v>
      </c>
      <c r="AB199" s="537">
        <v>43705</v>
      </c>
      <c r="AC199" s="537">
        <v>47278</v>
      </c>
      <c r="AD199" s="771" t="s">
        <v>935</v>
      </c>
      <c r="AE199" s="718" t="s">
        <v>67</v>
      </c>
      <c r="AF199" s="700"/>
      <c r="AG199" s="700"/>
      <c r="AH199" s="547" t="s">
        <v>1103</v>
      </c>
      <c r="AI199" s="478"/>
      <c r="AJ199" s="189"/>
      <c r="AK199" s="568">
        <v>3304990000</v>
      </c>
      <c r="AM199" s="610" t="s">
        <v>1104</v>
      </c>
      <c r="AN199" s="611" t="s">
        <v>1105</v>
      </c>
      <c r="AO199" s="611" t="s">
        <v>1106</v>
      </c>
      <c r="AP199" s="616" t="s">
        <v>1107</v>
      </c>
      <c r="AQ199" s="637" t="s">
        <v>1108</v>
      </c>
      <c r="AR199" s="621"/>
      <c r="AS199" s="618"/>
      <c r="AU199" s="189"/>
      <c r="AV199" s="189"/>
      <c r="AW199" s="189"/>
      <c r="AX199" s="512">
        <f>151*37*37/1000000000</f>
        <v>2.0671900000000001E-4</v>
      </c>
      <c r="AY199" s="507">
        <f t="shared" si="103"/>
        <v>0</v>
      </c>
      <c r="AZ199" s="189"/>
      <c r="BA199" s="189"/>
      <c r="BB199" s="189"/>
      <c r="BC199" s="517"/>
      <c r="BD199" s="189"/>
      <c r="BF199" s="445"/>
      <c r="BG199" s="442"/>
      <c r="BH199" s="442"/>
    </row>
    <row r="200" spans="1:62" ht="18.75" customHeight="1">
      <c r="A200" s="116">
        <v>4627186342067</v>
      </c>
      <c r="B200" s="100">
        <v>4126</v>
      </c>
      <c r="C200" s="251" t="s">
        <v>1109</v>
      </c>
      <c r="D200" s="826"/>
      <c r="E200" s="110" t="s">
        <v>401</v>
      </c>
      <c r="F200" s="249"/>
      <c r="G200" s="190"/>
      <c r="H200" s="190"/>
      <c r="I200" s="238"/>
      <c r="J200" s="238">
        <v>265</v>
      </c>
      <c r="K200" s="104">
        <f t="shared" ref="K200:K208" si="108">J200*F200</f>
        <v>0</v>
      </c>
      <c r="L200" s="238">
        <f t="shared" ref="L200:L208" si="109">J200+J200*5%</f>
        <v>278.25</v>
      </c>
      <c r="M200" s="104">
        <f t="shared" ref="M200:M208" si="110">F200*L200</f>
        <v>0</v>
      </c>
      <c r="N200" s="238">
        <f t="shared" ref="N200:N208" si="111">J200+J200*10%</f>
        <v>291.5</v>
      </c>
      <c r="O200" s="104">
        <f t="shared" ref="O200:O208" si="112">F200*N200</f>
        <v>0</v>
      </c>
      <c r="P200" s="238">
        <f t="shared" ref="P200:P208" si="113">J200+J200*15%</f>
        <v>304.75</v>
      </c>
      <c r="Q200" s="104">
        <f t="shared" ref="Q200:Q208" si="114">F200*P200</f>
        <v>0</v>
      </c>
      <c r="R200" s="238">
        <f t="shared" ref="R200:R208" si="115">J200+J200*25%</f>
        <v>331.25</v>
      </c>
      <c r="S200" s="104">
        <f t="shared" ref="S200:S207" si="116">F200*R200</f>
        <v>0</v>
      </c>
      <c r="T200" s="105">
        <v>130</v>
      </c>
      <c r="U200" s="105">
        <f t="shared" ref="U200:U208" si="117">T200*F200</f>
        <v>0</v>
      </c>
      <c r="V200" s="106"/>
      <c r="W200" s="301">
        <v>500</v>
      </c>
      <c r="Y200" s="567">
        <v>9</v>
      </c>
      <c r="Z200" s="189">
        <v>3</v>
      </c>
      <c r="AA200" s="541" t="s">
        <v>1110</v>
      </c>
      <c r="AB200" s="537">
        <v>43830</v>
      </c>
      <c r="AC200" s="537">
        <v>45656</v>
      </c>
      <c r="AD200" s="781" t="s">
        <v>1111</v>
      </c>
      <c r="AE200" s="718" t="s">
        <v>67</v>
      </c>
      <c r="AF200" s="700"/>
      <c r="AG200" s="700"/>
      <c r="AH200" s="547" t="s">
        <v>1112</v>
      </c>
      <c r="AI200" s="478"/>
      <c r="AJ200" s="189"/>
      <c r="AK200" s="568">
        <v>3304990000</v>
      </c>
      <c r="AM200" s="610" t="s">
        <v>1113</v>
      </c>
      <c r="AN200" s="611" t="s">
        <v>1114</v>
      </c>
      <c r="AO200" s="611" t="s">
        <v>1115</v>
      </c>
      <c r="AP200" s="616" t="s">
        <v>1116</v>
      </c>
      <c r="AQ200" s="637" t="s">
        <v>1117</v>
      </c>
      <c r="AR200" s="621"/>
      <c r="AS200" s="618"/>
      <c r="AU200" s="189"/>
      <c r="AV200" s="189"/>
      <c r="AW200" s="189"/>
      <c r="AX200" s="512">
        <f>67*67*42/1000000000*1.05</f>
        <v>1.979649E-4</v>
      </c>
      <c r="AY200" s="507">
        <f t="shared" si="103"/>
        <v>0</v>
      </c>
      <c r="AZ200" s="189"/>
      <c r="BA200" s="189"/>
      <c r="BB200" s="189"/>
      <c r="BC200" s="517"/>
      <c r="BD200" s="189"/>
      <c r="BF200" s="445"/>
      <c r="BG200" s="442" t="s">
        <v>1118</v>
      </c>
      <c r="BH200" s="442" t="s">
        <v>517</v>
      </c>
    </row>
    <row r="201" spans="1:62" ht="18.75" customHeight="1">
      <c r="A201" s="116">
        <v>4627186342074</v>
      </c>
      <c r="B201" s="100">
        <v>4127</v>
      </c>
      <c r="C201" s="251" t="s">
        <v>1119</v>
      </c>
      <c r="D201" s="826"/>
      <c r="E201" s="110" t="s">
        <v>401</v>
      </c>
      <c r="F201" s="249"/>
      <c r="G201" s="190"/>
      <c r="H201" s="190"/>
      <c r="I201" s="238"/>
      <c r="J201" s="238">
        <v>265</v>
      </c>
      <c r="K201" s="104">
        <f t="shared" si="108"/>
        <v>0</v>
      </c>
      <c r="L201" s="238">
        <f t="shared" si="109"/>
        <v>278.25</v>
      </c>
      <c r="M201" s="104">
        <f t="shared" si="110"/>
        <v>0</v>
      </c>
      <c r="N201" s="238">
        <f t="shared" si="111"/>
        <v>291.5</v>
      </c>
      <c r="O201" s="104">
        <f t="shared" si="112"/>
        <v>0</v>
      </c>
      <c r="P201" s="238">
        <f t="shared" si="113"/>
        <v>304.75</v>
      </c>
      <c r="Q201" s="104">
        <f t="shared" si="114"/>
        <v>0</v>
      </c>
      <c r="R201" s="238">
        <f t="shared" si="115"/>
        <v>331.25</v>
      </c>
      <c r="S201" s="104">
        <f t="shared" si="116"/>
        <v>0</v>
      </c>
      <c r="T201" s="105">
        <v>130</v>
      </c>
      <c r="U201" s="105">
        <f t="shared" si="117"/>
        <v>0</v>
      </c>
      <c r="V201" s="106"/>
      <c r="W201" s="301">
        <v>500</v>
      </c>
      <c r="Y201" s="567">
        <v>9</v>
      </c>
      <c r="Z201" s="189">
        <v>3</v>
      </c>
      <c r="AA201" s="541" t="s">
        <v>1110</v>
      </c>
      <c r="AB201" s="537">
        <v>43830</v>
      </c>
      <c r="AC201" s="537">
        <v>45656</v>
      </c>
      <c r="AD201" s="718" t="s">
        <v>1111</v>
      </c>
      <c r="AE201" s="718" t="s">
        <v>67</v>
      </c>
      <c r="AF201" s="700"/>
      <c r="AG201" s="700"/>
      <c r="AH201" s="547" t="s">
        <v>1112</v>
      </c>
      <c r="AI201" s="478"/>
      <c r="AJ201" s="189"/>
      <c r="AK201" s="568">
        <v>3304990000</v>
      </c>
      <c r="AM201" s="610" t="s">
        <v>1120</v>
      </c>
      <c r="AN201" s="611" t="s">
        <v>1121</v>
      </c>
      <c r="AO201" s="611" t="s">
        <v>1122</v>
      </c>
      <c r="AP201" s="616" t="s">
        <v>1123</v>
      </c>
      <c r="AQ201" s="637" t="s">
        <v>1124</v>
      </c>
      <c r="AR201" s="621"/>
      <c r="AS201" s="618"/>
      <c r="AU201" s="189"/>
      <c r="AV201" s="189"/>
      <c r="AW201" s="189"/>
      <c r="AX201" s="512">
        <f t="shared" ref="AX201:AX208" si="118">67*67*42/1000000000*1.05</f>
        <v>1.979649E-4</v>
      </c>
      <c r="AY201" s="507">
        <f t="shared" si="103"/>
        <v>0</v>
      </c>
      <c r="AZ201" s="189"/>
      <c r="BA201" s="189"/>
      <c r="BB201" s="189"/>
      <c r="BC201" s="517"/>
      <c r="BD201" s="189"/>
      <c r="BF201" s="445"/>
      <c r="BG201" s="442" t="s">
        <v>1118</v>
      </c>
      <c r="BH201" s="442" t="s">
        <v>517</v>
      </c>
    </row>
    <row r="202" spans="1:62" ht="18.75" customHeight="1">
      <c r="A202" s="116">
        <v>4627186342081</v>
      </c>
      <c r="B202" s="100">
        <v>4128</v>
      </c>
      <c r="C202" s="251" t="s">
        <v>1125</v>
      </c>
      <c r="D202" s="826"/>
      <c r="E202" s="110" t="s">
        <v>401</v>
      </c>
      <c r="F202" s="249"/>
      <c r="G202" s="190"/>
      <c r="H202" s="190"/>
      <c r="I202" s="238"/>
      <c r="J202" s="238">
        <v>265</v>
      </c>
      <c r="K202" s="104">
        <f t="shared" si="108"/>
        <v>0</v>
      </c>
      <c r="L202" s="238">
        <f t="shared" si="109"/>
        <v>278.25</v>
      </c>
      <c r="M202" s="104">
        <f t="shared" si="110"/>
        <v>0</v>
      </c>
      <c r="N202" s="238">
        <f t="shared" si="111"/>
        <v>291.5</v>
      </c>
      <c r="O202" s="104">
        <f t="shared" si="112"/>
        <v>0</v>
      </c>
      <c r="P202" s="238">
        <f t="shared" si="113"/>
        <v>304.75</v>
      </c>
      <c r="Q202" s="104">
        <f t="shared" si="114"/>
        <v>0</v>
      </c>
      <c r="R202" s="238">
        <f t="shared" si="115"/>
        <v>331.25</v>
      </c>
      <c r="S202" s="104">
        <f t="shared" si="116"/>
        <v>0</v>
      </c>
      <c r="T202" s="105">
        <v>130</v>
      </c>
      <c r="U202" s="105">
        <f t="shared" si="117"/>
        <v>0</v>
      </c>
      <c r="V202" s="106"/>
      <c r="W202" s="301">
        <v>500</v>
      </c>
      <c r="Y202" s="567">
        <v>9</v>
      </c>
      <c r="Z202" s="189">
        <v>3</v>
      </c>
      <c r="AA202" s="541" t="s">
        <v>1110</v>
      </c>
      <c r="AB202" s="537">
        <v>43830</v>
      </c>
      <c r="AC202" s="537">
        <v>45656</v>
      </c>
      <c r="AD202" s="718" t="s">
        <v>1111</v>
      </c>
      <c r="AE202" s="718" t="s">
        <v>67</v>
      </c>
      <c r="AF202" s="700"/>
      <c r="AG202" s="700"/>
      <c r="AH202" s="547" t="s">
        <v>1112</v>
      </c>
      <c r="AI202" s="478"/>
      <c r="AJ202" s="189"/>
      <c r="AK202" s="568">
        <v>3304990000</v>
      </c>
      <c r="AM202" s="610" t="s">
        <v>1126</v>
      </c>
      <c r="AN202" s="611" t="s">
        <v>1127</v>
      </c>
      <c r="AO202" s="611" t="s">
        <v>1128</v>
      </c>
      <c r="AP202" s="616" t="s">
        <v>1129</v>
      </c>
      <c r="AQ202" s="637" t="s">
        <v>1130</v>
      </c>
      <c r="AR202" s="621"/>
      <c r="AS202" s="618"/>
      <c r="AU202" s="189"/>
      <c r="AV202" s="189"/>
      <c r="AW202" s="189"/>
      <c r="AX202" s="512">
        <f t="shared" si="118"/>
        <v>1.979649E-4</v>
      </c>
      <c r="AY202" s="507">
        <f t="shared" si="103"/>
        <v>0</v>
      </c>
      <c r="AZ202" s="189"/>
      <c r="BA202" s="189"/>
      <c r="BB202" s="189"/>
      <c r="BC202" s="517"/>
      <c r="BD202" s="189"/>
      <c r="BF202" s="445"/>
      <c r="BG202" s="442" t="s">
        <v>1118</v>
      </c>
      <c r="BH202" s="442" t="s">
        <v>517</v>
      </c>
    </row>
    <row r="203" spans="1:62" ht="18.75" customHeight="1">
      <c r="A203" s="116">
        <v>4627186342098</v>
      </c>
      <c r="B203" s="100">
        <v>4129</v>
      </c>
      <c r="C203" s="251" t="s">
        <v>1131</v>
      </c>
      <c r="D203" s="826"/>
      <c r="E203" s="110" t="s">
        <v>1132</v>
      </c>
      <c r="F203" s="249"/>
      <c r="G203" s="190"/>
      <c r="H203" s="190"/>
      <c r="I203" s="238"/>
      <c r="J203" s="238">
        <v>265</v>
      </c>
      <c r="K203" s="104">
        <f t="shared" si="108"/>
        <v>0</v>
      </c>
      <c r="L203" s="238">
        <f t="shared" si="109"/>
        <v>278.25</v>
      </c>
      <c r="M203" s="104">
        <f t="shared" si="110"/>
        <v>0</v>
      </c>
      <c r="N203" s="238">
        <f t="shared" si="111"/>
        <v>291.5</v>
      </c>
      <c r="O203" s="104">
        <f t="shared" si="112"/>
        <v>0</v>
      </c>
      <c r="P203" s="238">
        <f t="shared" si="113"/>
        <v>304.75</v>
      </c>
      <c r="Q203" s="104">
        <f t="shared" si="114"/>
        <v>0</v>
      </c>
      <c r="R203" s="238">
        <f t="shared" si="115"/>
        <v>331.25</v>
      </c>
      <c r="S203" s="104">
        <f t="shared" si="116"/>
        <v>0</v>
      </c>
      <c r="T203" s="105">
        <v>130</v>
      </c>
      <c r="U203" s="105">
        <f t="shared" si="117"/>
        <v>0</v>
      </c>
      <c r="V203" s="106"/>
      <c r="W203" s="301">
        <v>500</v>
      </c>
      <c r="Y203" s="567">
        <v>9</v>
      </c>
      <c r="Z203" s="189">
        <v>3</v>
      </c>
      <c r="AA203" s="541" t="s">
        <v>1110</v>
      </c>
      <c r="AB203" s="537">
        <v>43830</v>
      </c>
      <c r="AC203" s="537">
        <v>45656</v>
      </c>
      <c r="AD203" s="718" t="s">
        <v>1111</v>
      </c>
      <c r="AE203" s="718" t="s">
        <v>67</v>
      </c>
      <c r="AF203" s="700"/>
      <c r="AG203" s="700"/>
      <c r="AH203" s="547" t="s">
        <v>1112</v>
      </c>
      <c r="AI203" s="478"/>
      <c r="AJ203" s="189"/>
      <c r="AK203" s="568">
        <v>3304990000</v>
      </c>
      <c r="AM203" s="610" t="s">
        <v>1133</v>
      </c>
      <c r="AN203" s="611" t="s">
        <v>1134</v>
      </c>
      <c r="AO203" s="611" t="s">
        <v>1135</v>
      </c>
      <c r="AP203" s="616" t="s">
        <v>1136</v>
      </c>
      <c r="AQ203" s="637" t="s">
        <v>1137</v>
      </c>
      <c r="AR203" s="621"/>
      <c r="AS203" s="618"/>
      <c r="AU203" s="189"/>
      <c r="AV203" s="189"/>
      <c r="AW203" s="189"/>
      <c r="AX203" s="512">
        <f t="shared" si="118"/>
        <v>1.979649E-4</v>
      </c>
      <c r="AY203" s="507">
        <f t="shared" si="103"/>
        <v>0</v>
      </c>
      <c r="AZ203" s="189"/>
      <c r="BA203" s="189"/>
      <c r="BB203" s="189"/>
      <c r="BC203" s="517"/>
      <c r="BD203" s="189"/>
      <c r="BF203" s="445"/>
      <c r="BG203" s="442" t="s">
        <v>1118</v>
      </c>
      <c r="BH203" s="442" t="s">
        <v>517</v>
      </c>
    </row>
    <row r="204" spans="1:62" ht="18.75" customHeight="1">
      <c r="A204" s="361">
        <v>4627186342104</v>
      </c>
      <c r="B204" s="100">
        <v>4130</v>
      </c>
      <c r="C204" s="251" t="s">
        <v>1138</v>
      </c>
      <c r="D204" s="826"/>
      <c r="E204" s="110" t="s">
        <v>1132</v>
      </c>
      <c r="F204" s="249"/>
      <c r="G204" s="190"/>
      <c r="H204" s="190"/>
      <c r="I204" s="238"/>
      <c r="J204" s="315">
        <v>275</v>
      </c>
      <c r="K204" s="104">
        <f t="shared" si="108"/>
        <v>0</v>
      </c>
      <c r="L204" s="238">
        <f t="shared" si="109"/>
        <v>288.75</v>
      </c>
      <c r="M204" s="104">
        <f t="shared" si="110"/>
        <v>0</v>
      </c>
      <c r="N204" s="238">
        <f t="shared" si="111"/>
        <v>302.5</v>
      </c>
      <c r="O204" s="104">
        <f t="shared" si="112"/>
        <v>0</v>
      </c>
      <c r="P204" s="238">
        <f t="shared" si="113"/>
        <v>316.25</v>
      </c>
      <c r="Q204" s="104">
        <f t="shared" si="114"/>
        <v>0</v>
      </c>
      <c r="R204" s="238">
        <f t="shared" si="115"/>
        <v>343.75</v>
      </c>
      <c r="S204" s="104">
        <f t="shared" si="116"/>
        <v>0</v>
      </c>
      <c r="T204" s="105">
        <v>130</v>
      </c>
      <c r="U204" s="105">
        <f t="shared" si="117"/>
        <v>0</v>
      </c>
      <c r="V204" s="106"/>
      <c r="W204" s="301">
        <v>520</v>
      </c>
      <c r="Y204" s="567">
        <v>9</v>
      </c>
      <c r="Z204" s="189">
        <v>3</v>
      </c>
      <c r="AA204" s="541" t="s">
        <v>1110</v>
      </c>
      <c r="AB204" s="537">
        <v>43830</v>
      </c>
      <c r="AC204" s="537">
        <v>45656</v>
      </c>
      <c r="AD204" s="718" t="s">
        <v>1111</v>
      </c>
      <c r="AE204" s="718" t="s">
        <v>67</v>
      </c>
      <c r="AF204" s="700"/>
      <c r="AG204" s="700"/>
      <c r="AH204" s="547" t="s">
        <v>1112</v>
      </c>
      <c r="AI204" s="478"/>
      <c r="AJ204" s="189"/>
      <c r="AK204" s="568">
        <v>3304990000</v>
      </c>
      <c r="AM204" s="610" t="s">
        <v>1139</v>
      </c>
      <c r="AN204" s="611" t="s">
        <v>1140</v>
      </c>
      <c r="AO204" s="611" t="s">
        <v>1141</v>
      </c>
      <c r="AP204" s="616" t="s">
        <v>1142</v>
      </c>
      <c r="AQ204" s="637" t="s">
        <v>1143</v>
      </c>
      <c r="AR204" s="621"/>
      <c r="AS204" s="618"/>
      <c r="AU204" s="189"/>
      <c r="AV204" s="189"/>
      <c r="AW204" s="189"/>
      <c r="AX204" s="512">
        <f t="shared" si="118"/>
        <v>1.979649E-4</v>
      </c>
      <c r="AY204" s="507">
        <f t="shared" si="103"/>
        <v>0</v>
      </c>
      <c r="AZ204" s="189"/>
      <c r="BA204" s="189"/>
      <c r="BB204" s="189"/>
      <c r="BC204" s="517"/>
      <c r="BD204" s="189"/>
      <c r="BF204" s="445"/>
      <c r="BG204" s="442" t="s">
        <v>1118</v>
      </c>
      <c r="BH204" s="442" t="s">
        <v>517</v>
      </c>
    </row>
    <row r="205" spans="1:62" ht="18.75" customHeight="1">
      <c r="A205" s="116">
        <v>4627186342111</v>
      </c>
      <c r="B205" s="100">
        <v>4131</v>
      </c>
      <c r="C205" s="251" t="s">
        <v>1144</v>
      </c>
      <c r="D205" s="826"/>
      <c r="E205" s="110" t="s">
        <v>1132</v>
      </c>
      <c r="F205" s="249"/>
      <c r="G205" s="190"/>
      <c r="H205" s="190"/>
      <c r="I205" s="238"/>
      <c r="J205" s="238">
        <v>265</v>
      </c>
      <c r="K205" s="104">
        <f t="shared" si="108"/>
        <v>0</v>
      </c>
      <c r="L205" s="238">
        <f t="shared" si="109"/>
        <v>278.25</v>
      </c>
      <c r="M205" s="104">
        <f t="shared" si="110"/>
        <v>0</v>
      </c>
      <c r="N205" s="238">
        <f t="shared" si="111"/>
        <v>291.5</v>
      </c>
      <c r="O205" s="104">
        <f t="shared" si="112"/>
        <v>0</v>
      </c>
      <c r="P205" s="238">
        <f t="shared" si="113"/>
        <v>304.75</v>
      </c>
      <c r="Q205" s="104">
        <f t="shared" si="114"/>
        <v>0</v>
      </c>
      <c r="R205" s="238">
        <f t="shared" si="115"/>
        <v>331.25</v>
      </c>
      <c r="S205" s="104">
        <f t="shared" si="116"/>
        <v>0</v>
      </c>
      <c r="T205" s="105">
        <v>130</v>
      </c>
      <c r="U205" s="105">
        <f t="shared" si="117"/>
        <v>0</v>
      </c>
      <c r="V205" s="106"/>
      <c r="W205" s="301">
        <v>500</v>
      </c>
      <c r="Y205" s="567">
        <v>9</v>
      </c>
      <c r="Z205" s="189">
        <v>3</v>
      </c>
      <c r="AA205" s="541" t="s">
        <v>1110</v>
      </c>
      <c r="AB205" s="537">
        <v>43830</v>
      </c>
      <c r="AC205" s="537">
        <v>45656</v>
      </c>
      <c r="AD205" s="718" t="s">
        <v>1111</v>
      </c>
      <c r="AE205" s="718" t="s">
        <v>67</v>
      </c>
      <c r="AF205" s="700"/>
      <c r="AG205" s="700"/>
      <c r="AH205" s="547" t="s">
        <v>1112</v>
      </c>
      <c r="AI205" s="478"/>
      <c r="AJ205" s="189"/>
      <c r="AK205" s="568">
        <v>3304990000</v>
      </c>
      <c r="AM205" s="610" t="s">
        <v>1145</v>
      </c>
      <c r="AN205" s="611" t="s">
        <v>1146</v>
      </c>
      <c r="AO205" s="611" t="s">
        <v>1147</v>
      </c>
      <c r="AP205" s="616" t="s">
        <v>1148</v>
      </c>
      <c r="AQ205" s="637" t="s">
        <v>1149</v>
      </c>
      <c r="AR205" s="621"/>
      <c r="AS205" s="618"/>
      <c r="AU205" s="189"/>
      <c r="AV205" s="189"/>
      <c r="AW205" s="189"/>
      <c r="AX205" s="512">
        <f t="shared" si="118"/>
        <v>1.979649E-4</v>
      </c>
      <c r="AY205" s="507">
        <f t="shared" si="103"/>
        <v>0</v>
      </c>
      <c r="AZ205" s="189"/>
      <c r="BA205" s="189"/>
      <c r="BB205" s="189"/>
      <c r="BC205" s="517"/>
      <c r="BD205" s="189"/>
      <c r="BF205" s="445"/>
      <c r="BG205" s="442" t="s">
        <v>1118</v>
      </c>
      <c r="BH205" s="442" t="s">
        <v>517</v>
      </c>
    </row>
    <row r="206" spans="1:62" ht="18.75" customHeight="1">
      <c r="A206" s="116">
        <v>4627186342128</v>
      </c>
      <c r="B206" s="100">
        <v>4132</v>
      </c>
      <c r="C206" s="251" t="s">
        <v>1150</v>
      </c>
      <c r="D206" s="826"/>
      <c r="E206" s="110" t="s">
        <v>1132</v>
      </c>
      <c r="F206" s="249"/>
      <c r="G206" s="190"/>
      <c r="H206" s="190"/>
      <c r="I206" s="238"/>
      <c r="J206" s="238">
        <v>265</v>
      </c>
      <c r="K206" s="104">
        <f t="shared" si="108"/>
        <v>0</v>
      </c>
      <c r="L206" s="238">
        <f t="shared" si="109"/>
        <v>278.25</v>
      </c>
      <c r="M206" s="104">
        <f t="shared" si="110"/>
        <v>0</v>
      </c>
      <c r="N206" s="238">
        <f t="shared" si="111"/>
        <v>291.5</v>
      </c>
      <c r="O206" s="104">
        <f t="shared" si="112"/>
        <v>0</v>
      </c>
      <c r="P206" s="238">
        <f t="shared" si="113"/>
        <v>304.75</v>
      </c>
      <c r="Q206" s="104">
        <f t="shared" si="114"/>
        <v>0</v>
      </c>
      <c r="R206" s="238">
        <f t="shared" si="115"/>
        <v>331.25</v>
      </c>
      <c r="S206" s="104">
        <f t="shared" si="116"/>
        <v>0</v>
      </c>
      <c r="T206" s="105">
        <v>130</v>
      </c>
      <c r="U206" s="105">
        <f t="shared" si="117"/>
        <v>0</v>
      </c>
      <c r="V206" s="106"/>
      <c r="W206" s="301">
        <v>500</v>
      </c>
      <c r="Y206" s="567">
        <v>9</v>
      </c>
      <c r="Z206" s="189">
        <v>3</v>
      </c>
      <c r="AA206" s="541" t="s">
        <v>1110</v>
      </c>
      <c r="AB206" s="537">
        <v>43830</v>
      </c>
      <c r="AC206" s="537">
        <v>45656</v>
      </c>
      <c r="AD206" s="718" t="s">
        <v>1111</v>
      </c>
      <c r="AE206" s="718" t="s">
        <v>67</v>
      </c>
      <c r="AF206" s="700"/>
      <c r="AG206" s="700"/>
      <c r="AH206" s="547" t="s">
        <v>1112</v>
      </c>
      <c r="AI206" s="478"/>
      <c r="AJ206" s="189"/>
      <c r="AK206" s="568">
        <v>3304990000</v>
      </c>
      <c r="AM206" s="610" t="s">
        <v>1151</v>
      </c>
      <c r="AN206" s="611" t="s">
        <v>1152</v>
      </c>
      <c r="AO206" s="611" t="s">
        <v>1153</v>
      </c>
      <c r="AP206" s="616" t="s">
        <v>1154</v>
      </c>
      <c r="AQ206" s="637" t="s">
        <v>1155</v>
      </c>
      <c r="AR206" s="621"/>
      <c r="AS206" s="618"/>
      <c r="AU206" s="189"/>
      <c r="AV206" s="189"/>
      <c r="AW206" s="189"/>
      <c r="AX206" s="512">
        <f t="shared" si="118"/>
        <v>1.979649E-4</v>
      </c>
      <c r="AY206" s="507">
        <f t="shared" si="103"/>
        <v>0</v>
      </c>
      <c r="AZ206" s="189"/>
      <c r="BA206" s="189"/>
      <c r="BB206" s="189"/>
      <c r="BC206" s="517"/>
      <c r="BD206" s="189"/>
      <c r="BF206" s="445"/>
      <c r="BG206" s="442" t="s">
        <v>1118</v>
      </c>
      <c r="BH206" s="442" t="s">
        <v>517</v>
      </c>
    </row>
    <row r="207" spans="1:62" ht="18.75" customHeight="1">
      <c r="A207" s="116">
        <v>4627186342135</v>
      </c>
      <c r="B207" s="100">
        <v>4133</v>
      </c>
      <c r="C207" s="251" t="s">
        <v>1156</v>
      </c>
      <c r="D207" s="826"/>
      <c r="E207" s="110" t="s">
        <v>1132</v>
      </c>
      <c r="F207" s="249"/>
      <c r="G207" s="190"/>
      <c r="H207" s="190"/>
      <c r="I207" s="238"/>
      <c r="J207" s="238">
        <v>265</v>
      </c>
      <c r="K207" s="104">
        <f t="shared" si="108"/>
        <v>0</v>
      </c>
      <c r="L207" s="238">
        <f t="shared" si="109"/>
        <v>278.25</v>
      </c>
      <c r="M207" s="104">
        <f t="shared" si="110"/>
        <v>0</v>
      </c>
      <c r="N207" s="238">
        <f t="shared" si="111"/>
        <v>291.5</v>
      </c>
      <c r="O207" s="104">
        <f t="shared" si="112"/>
        <v>0</v>
      </c>
      <c r="P207" s="238">
        <f t="shared" si="113"/>
        <v>304.75</v>
      </c>
      <c r="Q207" s="104">
        <f t="shared" si="114"/>
        <v>0</v>
      </c>
      <c r="R207" s="238">
        <f t="shared" si="115"/>
        <v>331.25</v>
      </c>
      <c r="S207" s="104">
        <f t="shared" si="116"/>
        <v>0</v>
      </c>
      <c r="T207" s="105">
        <v>130</v>
      </c>
      <c r="U207" s="105">
        <f t="shared" si="117"/>
        <v>0</v>
      </c>
      <c r="V207" s="106"/>
      <c r="W207" s="301">
        <v>500</v>
      </c>
      <c r="Y207" s="567">
        <v>9</v>
      </c>
      <c r="Z207" s="189">
        <v>3</v>
      </c>
      <c r="AA207" s="541" t="s">
        <v>1110</v>
      </c>
      <c r="AB207" s="537">
        <v>43830</v>
      </c>
      <c r="AC207" s="537">
        <v>45656</v>
      </c>
      <c r="AD207" s="718" t="s">
        <v>1111</v>
      </c>
      <c r="AE207" s="718" t="s">
        <v>67</v>
      </c>
      <c r="AF207" s="700"/>
      <c r="AG207" s="700"/>
      <c r="AH207" s="547" t="s">
        <v>1112</v>
      </c>
      <c r="AI207" s="478"/>
      <c r="AJ207" s="189"/>
      <c r="AK207" s="568">
        <v>3304990000</v>
      </c>
      <c r="AM207" s="610" t="s">
        <v>1157</v>
      </c>
      <c r="AN207" s="611" t="s">
        <v>1158</v>
      </c>
      <c r="AO207" s="611" t="s">
        <v>1159</v>
      </c>
      <c r="AP207" s="616" t="s">
        <v>1160</v>
      </c>
      <c r="AQ207" s="637" t="s">
        <v>1161</v>
      </c>
      <c r="AR207" s="621"/>
      <c r="AS207" s="618"/>
      <c r="AU207" s="189"/>
      <c r="AV207" s="189"/>
      <c r="AW207" s="189"/>
      <c r="AX207" s="512">
        <f t="shared" si="118"/>
        <v>1.979649E-4</v>
      </c>
      <c r="AY207" s="507">
        <f t="shared" si="103"/>
        <v>0</v>
      </c>
      <c r="AZ207" s="189"/>
      <c r="BA207" s="189"/>
      <c r="BB207" s="189"/>
      <c r="BC207" s="517"/>
      <c r="BD207" s="189"/>
      <c r="BF207" s="445"/>
      <c r="BG207" s="442" t="s">
        <v>1118</v>
      </c>
      <c r="BH207" s="442" t="s">
        <v>517</v>
      </c>
    </row>
    <row r="208" spans="1:62" ht="18.75" customHeight="1">
      <c r="A208" s="116">
        <v>4627186342142</v>
      </c>
      <c r="B208" s="100">
        <v>4134</v>
      </c>
      <c r="C208" s="251" t="s">
        <v>1162</v>
      </c>
      <c r="D208" s="826"/>
      <c r="E208" s="110" t="s">
        <v>1132</v>
      </c>
      <c r="F208" s="249"/>
      <c r="G208" s="190"/>
      <c r="H208" s="190"/>
      <c r="I208" s="238"/>
      <c r="J208" s="238">
        <v>265</v>
      </c>
      <c r="K208" s="104">
        <f t="shared" si="108"/>
        <v>0</v>
      </c>
      <c r="L208" s="238">
        <f t="shared" si="109"/>
        <v>278.25</v>
      </c>
      <c r="M208" s="104">
        <f t="shared" si="110"/>
        <v>0</v>
      </c>
      <c r="N208" s="238">
        <f t="shared" si="111"/>
        <v>291.5</v>
      </c>
      <c r="O208" s="104">
        <f t="shared" si="112"/>
        <v>0</v>
      </c>
      <c r="P208" s="238">
        <f t="shared" si="113"/>
        <v>304.75</v>
      </c>
      <c r="Q208" s="104">
        <f t="shared" si="114"/>
        <v>0</v>
      </c>
      <c r="R208" s="238">
        <f t="shared" si="115"/>
        <v>331.25</v>
      </c>
      <c r="S208" s="104">
        <f>R208*F208</f>
        <v>0</v>
      </c>
      <c r="T208" s="105">
        <v>130</v>
      </c>
      <c r="U208" s="105">
        <f t="shared" si="117"/>
        <v>0</v>
      </c>
      <c r="V208" s="106"/>
      <c r="W208" s="301">
        <v>500</v>
      </c>
      <c r="Y208" s="567">
        <v>9</v>
      </c>
      <c r="Z208" s="189">
        <v>3</v>
      </c>
      <c r="AA208" s="541" t="s">
        <v>1110</v>
      </c>
      <c r="AB208" s="537">
        <v>43830</v>
      </c>
      <c r="AC208" s="537">
        <v>45656</v>
      </c>
      <c r="AD208" s="718" t="s">
        <v>1111</v>
      </c>
      <c r="AE208" s="718" t="s">
        <v>67</v>
      </c>
      <c r="AF208" s="700"/>
      <c r="AG208" s="700"/>
      <c r="AH208" s="547" t="s">
        <v>1112</v>
      </c>
      <c r="AI208" s="478"/>
      <c r="AJ208" s="189"/>
      <c r="AK208" s="568">
        <v>3304990000</v>
      </c>
      <c r="AM208" s="610" t="s">
        <v>1163</v>
      </c>
      <c r="AN208" s="611" t="s">
        <v>1164</v>
      </c>
      <c r="AO208" s="611" t="s">
        <v>1165</v>
      </c>
      <c r="AP208" s="616" t="s">
        <v>1166</v>
      </c>
      <c r="AQ208" s="637" t="s">
        <v>1167</v>
      </c>
      <c r="AR208" s="621"/>
      <c r="AS208" s="618"/>
      <c r="AU208" s="189"/>
      <c r="AV208" s="189"/>
      <c r="AW208" s="189"/>
      <c r="AX208" s="512">
        <f t="shared" si="118"/>
        <v>1.979649E-4</v>
      </c>
      <c r="AY208" s="507">
        <f t="shared" si="103"/>
        <v>0</v>
      </c>
      <c r="AZ208" s="189"/>
      <c r="BA208" s="189"/>
      <c r="BB208" s="189"/>
      <c r="BC208" s="517"/>
      <c r="BD208" s="189"/>
      <c r="BF208" s="445"/>
      <c r="BG208" s="442" t="s">
        <v>1118</v>
      </c>
      <c r="BH208" s="442" t="s">
        <v>517</v>
      </c>
    </row>
    <row r="209" spans="1:72" ht="24.75" customHeight="1">
      <c r="A209" s="485" t="s">
        <v>156</v>
      </c>
      <c r="B209" s="333"/>
      <c r="C209" s="271" t="s">
        <v>1168</v>
      </c>
      <c r="D209" s="827"/>
      <c r="E209" s="270"/>
      <c r="F209" s="491"/>
      <c r="G209" s="360"/>
      <c r="H209" s="362"/>
      <c r="I209" s="362"/>
      <c r="J209" s="357"/>
      <c r="K209" s="488">
        <f>K211+K212+K213+K214+K215+K216+K217+K222+K223+K224+K225+K230+K227+K228+K229+K210+K218+K219+K220+K221+K231+K232+K226</f>
        <v>0</v>
      </c>
      <c r="L209" s="489"/>
      <c r="M209" s="488">
        <f>M211+M212+M213+M214+M215+M216+M217+M222+M223+M224+M225+M230+M227+M228+M229+M210+M218+M219+M220+M221+M231+M232+M226</f>
        <v>0</v>
      </c>
      <c r="N209" s="489"/>
      <c r="O209" s="488">
        <f>O211+O212+O213+O214+O215+O216+O217+O222+O223+O224+O225+O230+O227+O228+O229+O210+O218+O219+O220+O221+O231+O232+O226</f>
        <v>0</v>
      </c>
      <c r="P209" s="489"/>
      <c r="Q209" s="488">
        <f>Q211+Q212+Q213+Q214+Q215+Q216+Q217+Q222+Q223+Q224+Q225+Q230+Q227+Q228+Q229+Q210+Q218+Q219+Q220+Q221+Q231+Q232+Q226</f>
        <v>0</v>
      </c>
      <c r="R209" s="489"/>
      <c r="S209" s="488">
        <f>S210+S211+S212+S213+S214+S215+S216+S217+S218+S219+S220+S221+S222+S223+S224+S225+S227+S228+S229+S230+S231+S232+S226</f>
        <v>0</v>
      </c>
      <c r="T209" s="346"/>
      <c r="U209" s="313">
        <f>U210+U211+U212+U213+U214+U215+U216+U217+U218+U219+U220+U221+U222+U223+U224+U225+U227+U228+U229+U230+U231+U232</f>
        <v>0</v>
      </c>
      <c r="V209" s="346"/>
      <c r="W209" s="293"/>
      <c r="Y209" s="562"/>
      <c r="Z209" s="293"/>
      <c r="AA209" s="772"/>
      <c r="AB209" s="543"/>
      <c r="AC209" s="543"/>
      <c r="AD209" s="716"/>
      <c r="AE209" s="716"/>
      <c r="AF209" s="701"/>
      <c r="AG209" s="701"/>
      <c r="AH209" s="546"/>
      <c r="AI209" s="675"/>
      <c r="AJ209" s="293"/>
      <c r="AK209" s="563"/>
      <c r="AL209" s="554"/>
      <c r="AM209" s="562"/>
      <c r="AN209" s="293"/>
      <c r="AO209" s="293"/>
      <c r="AP209" s="293"/>
      <c r="AQ209" s="293"/>
      <c r="AR209" s="293"/>
      <c r="AS209" s="563"/>
      <c r="AU209" s="293"/>
      <c r="AV209" s="293"/>
      <c r="AW209" s="293"/>
      <c r="AX209" s="293"/>
      <c r="AY209" s="293"/>
      <c r="AZ209" s="293"/>
      <c r="BA209" s="293"/>
      <c r="BB209" s="293"/>
      <c r="BC209" s="293"/>
      <c r="BD209" s="293"/>
      <c r="BF209" s="445"/>
    </row>
    <row r="210" spans="1:72" s="37" customFormat="1" ht="23.25" customHeight="1">
      <c r="A210" s="284" t="s">
        <v>1169</v>
      </c>
      <c r="B210" s="100">
        <v>2828</v>
      </c>
      <c r="C210" s="251" t="s">
        <v>1170</v>
      </c>
      <c r="D210" s="826"/>
      <c r="E210" s="110" t="s">
        <v>222</v>
      </c>
      <c r="F210" s="326"/>
      <c r="G210" s="190"/>
      <c r="H210" s="330"/>
      <c r="I210" s="330"/>
      <c r="J210" s="238">
        <v>510</v>
      </c>
      <c r="K210" s="104">
        <f>J210*F210</f>
        <v>0</v>
      </c>
      <c r="L210" s="238">
        <f>J210+J210*5%</f>
        <v>535.5</v>
      </c>
      <c r="M210" s="104">
        <f>L210*F210</f>
        <v>0</v>
      </c>
      <c r="N210" s="238">
        <f>J210+J210*10%</f>
        <v>561</v>
      </c>
      <c r="O210" s="104">
        <f>N210*F210</f>
        <v>0</v>
      </c>
      <c r="P210" s="238">
        <f>J210+J210*15%</f>
        <v>586.5</v>
      </c>
      <c r="Q210" s="104">
        <f>P210*F210</f>
        <v>0</v>
      </c>
      <c r="R210" s="238">
        <f>J210+J210*25%</f>
        <v>637.5</v>
      </c>
      <c r="S210" s="104">
        <f>R210*F210</f>
        <v>0</v>
      </c>
      <c r="T210" s="812">
        <v>56.5</v>
      </c>
      <c r="U210" s="112">
        <f t="shared" ref="U210:U232" si="119">T210*F210</f>
        <v>0</v>
      </c>
      <c r="V210" s="363"/>
      <c r="W210" s="301">
        <v>965</v>
      </c>
      <c r="X210" s="586"/>
      <c r="Y210" s="565">
        <v>12</v>
      </c>
      <c r="Z210" s="286"/>
      <c r="AA210" s="541" t="s">
        <v>374</v>
      </c>
      <c r="AB210" s="537">
        <v>43704</v>
      </c>
      <c r="AC210" s="537">
        <v>45530</v>
      </c>
      <c r="AD210" s="718" t="s">
        <v>375</v>
      </c>
      <c r="AE210" s="718" t="s">
        <v>359</v>
      </c>
      <c r="AF210" s="902" t="s">
        <v>226</v>
      </c>
      <c r="AG210" s="902" t="s">
        <v>360</v>
      </c>
      <c r="AH210" s="824" t="s">
        <v>1171</v>
      </c>
      <c r="AI210" s="706" t="s">
        <v>1172</v>
      </c>
      <c r="AJ210" s="826" t="s">
        <v>1173</v>
      </c>
      <c r="AK210" s="568">
        <v>3304990000</v>
      </c>
      <c r="AL210" s="551"/>
      <c r="AM210" s="588" t="s">
        <v>1174</v>
      </c>
      <c r="AN210" s="273" t="s">
        <v>1175</v>
      </c>
      <c r="AO210" s="273" t="s">
        <v>1176</v>
      </c>
      <c r="AP210" s="624" t="s">
        <v>1177</v>
      </c>
      <c r="AQ210" s="645" t="s">
        <v>1178</v>
      </c>
      <c r="AR210" s="646"/>
      <c r="AS210" s="625" t="s">
        <v>379</v>
      </c>
      <c r="AT210" s="435"/>
      <c r="AU210" s="299"/>
      <c r="AV210" s="299"/>
      <c r="AW210" s="299"/>
      <c r="AX210" s="288">
        <f>98*43*43/1000000000</f>
        <v>1.8120199999999999E-4</v>
      </c>
      <c r="AY210" s="523" t="e">
        <f>AX210*#REF!</f>
        <v>#REF!</v>
      </c>
      <c r="AZ210" s="299"/>
      <c r="BA210" s="299"/>
      <c r="BB210" s="299"/>
      <c r="BC210" s="299"/>
      <c r="BD210" s="168" t="s">
        <v>315</v>
      </c>
      <c r="BE210" s="435"/>
      <c r="BF210" s="524"/>
      <c r="BG210" s="435"/>
      <c r="BH210" s="435"/>
      <c r="BI210" s="435"/>
      <c r="BJ210" s="435"/>
      <c r="BK210" s="435"/>
      <c r="BL210" s="435"/>
      <c r="BM210" s="435"/>
      <c r="BN210" s="435"/>
      <c r="BO210" s="435"/>
      <c r="BP210" s="435"/>
      <c r="BQ210" s="435"/>
      <c r="BR210" s="435"/>
      <c r="BS210" s="435"/>
      <c r="BT210" s="435"/>
    </row>
    <row r="211" spans="1:72" s="435" customFormat="1" ht="21.75" customHeight="1">
      <c r="A211" s="283">
        <v>4627101822834</v>
      </c>
      <c r="B211" s="100">
        <v>1971</v>
      </c>
      <c r="C211" s="251" t="s">
        <v>1179</v>
      </c>
      <c r="D211" s="826"/>
      <c r="E211" s="110" t="s">
        <v>1180</v>
      </c>
      <c r="F211" s="248"/>
      <c r="G211" s="190"/>
      <c r="H211" s="330"/>
      <c r="I211" s="238"/>
      <c r="J211" s="315">
        <v>450</v>
      </c>
      <c r="K211" s="104">
        <f>F211*J211</f>
        <v>0</v>
      </c>
      <c r="L211" s="238">
        <f t="shared" ref="L211:L232" si="120">J211+J211*5%</f>
        <v>472.5</v>
      </c>
      <c r="M211" s="104">
        <f>L211*F211</f>
        <v>0</v>
      </c>
      <c r="N211" s="238">
        <f t="shared" ref="N211:N232" si="121">J211+J211*10%</f>
        <v>495</v>
      </c>
      <c r="O211" s="104">
        <f>N211*F211</f>
        <v>0</v>
      </c>
      <c r="P211" s="238">
        <f t="shared" ref="P211:P232" si="122">J211+J211*15%</f>
        <v>517.5</v>
      </c>
      <c r="Q211" s="104">
        <f>P211*F211</f>
        <v>0</v>
      </c>
      <c r="R211" s="238">
        <f t="shared" ref="R211:R232" si="123">J211+J211*25%</f>
        <v>562.5</v>
      </c>
      <c r="S211" s="104">
        <f>R211*F211</f>
        <v>0</v>
      </c>
      <c r="T211" s="105">
        <v>195.3</v>
      </c>
      <c r="U211" s="112">
        <f t="shared" si="119"/>
        <v>0</v>
      </c>
      <c r="V211" s="364"/>
      <c r="W211" s="301">
        <v>855</v>
      </c>
      <c r="X211" s="586"/>
      <c r="Y211" s="570">
        <v>12</v>
      </c>
      <c r="Z211" s="168"/>
      <c r="AA211" s="541" t="s">
        <v>123</v>
      </c>
      <c r="AB211" s="537">
        <v>44193</v>
      </c>
      <c r="AC211" s="537">
        <v>46018</v>
      </c>
      <c r="AD211" s="769" t="s">
        <v>124</v>
      </c>
      <c r="AE211" s="718" t="s">
        <v>67</v>
      </c>
      <c r="AF211" s="902" t="s">
        <v>1181</v>
      </c>
      <c r="AG211" s="902" t="s">
        <v>307</v>
      </c>
      <c r="AH211" s="824" t="s">
        <v>1182</v>
      </c>
      <c r="AI211" s="706" t="s">
        <v>907</v>
      </c>
      <c r="AJ211" s="706" t="s">
        <v>907</v>
      </c>
      <c r="AK211" s="573">
        <v>3401110001</v>
      </c>
      <c r="AL211" s="558"/>
      <c r="AM211" s="610" t="s">
        <v>1183</v>
      </c>
      <c r="AN211" s="611" t="s">
        <v>1184</v>
      </c>
      <c r="AO211" s="611"/>
      <c r="AP211" s="608" t="s">
        <v>1185</v>
      </c>
      <c r="AQ211" s="647" t="s">
        <v>1186</v>
      </c>
      <c r="AR211" s="638"/>
      <c r="AS211" s="639"/>
      <c r="AU211" s="168"/>
      <c r="AV211" s="168"/>
      <c r="AW211" s="168"/>
      <c r="AX211" s="288">
        <f>80*188*56/1000000000</f>
        <v>8.4223999999999996E-4</v>
      </c>
      <c r="AY211" s="523" t="e">
        <f>AX211*#REF!</f>
        <v>#REF!</v>
      </c>
      <c r="AZ211" s="168"/>
      <c r="BA211" s="168"/>
      <c r="BB211" s="168"/>
      <c r="BC211" s="299"/>
      <c r="BD211" s="168" t="s">
        <v>315</v>
      </c>
      <c r="BF211" s="448"/>
      <c r="BG211" s="449"/>
      <c r="BH211" s="449"/>
    </row>
    <row r="212" spans="1:72" s="435" customFormat="1" ht="21" customHeight="1">
      <c r="A212" s="283">
        <v>4627101822841</v>
      </c>
      <c r="B212" s="100">
        <v>1972</v>
      </c>
      <c r="C212" s="251" t="s">
        <v>1187</v>
      </c>
      <c r="D212" s="826"/>
      <c r="E212" s="110" t="s">
        <v>585</v>
      </c>
      <c r="F212" s="248"/>
      <c r="G212" s="190"/>
      <c r="H212" s="330"/>
      <c r="I212" s="238"/>
      <c r="J212" s="275">
        <v>360</v>
      </c>
      <c r="K212" s="104">
        <f>F212*J212</f>
        <v>0</v>
      </c>
      <c r="L212" s="238">
        <f t="shared" si="120"/>
        <v>378</v>
      </c>
      <c r="M212" s="104">
        <f>L212*F212</f>
        <v>0</v>
      </c>
      <c r="N212" s="238">
        <f t="shared" si="121"/>
        <v>396</v>
      </c>
      <c r="O212" s="104">
        <f>N212*F212</f>
        <v>0</v>
      </c>
      <c r="P212" s="238">
        <f t="shared" si="122"/>
        <v>414</v>
      </c>
      <c r="Q212" s="104">
        <f>P212*F212</f>
        <v>0</v>
      </c>
      <c r="R212" s="238">
        <f t="shared" si="123"/>
        <v>450</v>
      </c>
      <c r="S212" s="104">
        <f>R212*F212</f>
        <v>0</v>
      </c>
      <c r="T212" s="105">
        <v>290</v>
      </c>
      <c r="U212" s="112">
        <f t="shared" si="119"/>
        <v>0</v>
      </c>
      <c r="V212" s="364"/>
      <c r="W212" s="301">
        <v>680</v>
      </c>
      <c r="X212" s="586"/>
      <c r="Y212" s="570">
        <v>12</v>
      </c>
      <c r="Z212" s="168">
        <v>3</v>
      </c>
      <c r="AA212" s="541" t="s">
        <v>1188</v>
      </c>
      <c r="AB212" s="537">
        <v>44923</v>
      </c>
      <c r="AC212" s="537">
        <v>47478</v>
      </c>
      <c r="AD212" s="718" t="s">
        <v>1189</v>
      </c>
      <c r="AE212" s="718" t="s">
        <v>67</v>
      </c>
      <c r="AF212" s="902" t="s">
        <v>1190</v>
      </c>
      <c r="AG212" s="902" t="s">
        <v>1022</v>
      </c>
      <c r="AH212" s="824" t="s">
        <v>1191</v>
      </c>
      <c r="AI212" s="687" t="s">
        <v>1192</v>
      </c>
      <c r="AJ212" s="826"/>
      <c r="AK212" s="573">
        <v>3305100000</v>
      </c>
      <c r="AL212" s="558"/>
      <c r="AM212" s="588" t="s">
        <v>1193</v>
      </c>
      <c r="AN212" s="273" t="s">
        <v>1194</v>
      </c>
      <c r="AO212" s="273" t="s">
        <v>1195</v>
      </c>
      <c r="AP212" s="608"/>
      <c r="AQ212" s="647" t="s">
        <v>1196</v>
      </c>
      <c r="AR212" s="638"/>
      <c r="AS212" s="639"/>
      <c r="AU212" s="189"/>
      <c r="AV212" s="189"/>
      <c r="AW212" s="189"/>
      <c r="AX212" s="512">
        <f>158*57*57/1000000000</f>
        <v>5.1334199999999996E-4</v>
      </c>
      <c r="AY212" s="523" t="e">
        <f>AX212*#REF!</f>
        <v>#REF!</v>
      </c>
      <c r="AZ212" s="189"/>
      <c r="BA212" s="189"/>
      <c r="BB212" s="189"/>
      <c r="BC212" s="299"/>
      <c r="BD212" s="189" t="s">
        <v>264</v>
      </c>
      <c r="BF212" s="448"/>
      <c r="BG212" s="449"/>
      <c r="BH212" s="449"/>
    </row>
    <row r="213" spans="1:72" ht="28.5" customHeight="1">
      <c r="A213" s="116">
        <v>4627101826382</v>
      </c>
      <c r="B213" s="100">
        <v>2400</v>
      </c>
      <c r="C213" s="251" t="s">
        <v>1197</v>
      </c>
      <c r="D213" s="826"/>
      <c r="E213" s="110" t="s">
        <v>682</v>
      </c>
      <c r="F213" s="249"/>
      <c r="G213" s="190"/>
      <c r="H213" s="190"/>
      <c r="I213" s="238"/>
      <c r="J213" s="238">
        <v>155</v>
      </c>
      <c r="K213" s="104">
        <f t="shared" ref="K213:K231" si="124">J213*F213</f>
        <v>0</v>
      </c>
      <c r="L213" s="238">
        <f t="shared" si="120"/>
        <v>162.75</v>
      </c>
      <c r="M213" s="104">
        <f>F213*L213</f>
        <v>0</v>
      </c>
      <c r="N213" s="238">
        <f t="shared" si="121"/>
        <v>170.5</v>
      </c>
      <c r="O213" s="104">
        <f>F213*N213</f>
        <v>0</v>
      </c>
      <c r="P213" s="238">
        <f t="shared" si="122"/>
        <v>178.25</v>
      </c>
      <c r="Q213" s="104">
        <f>F213*P213</f>
        <v>0</v>
      </c>
      <c r="R213" s="238">
        <f t="shared" si="123"/>
        <v>193.75</v>
      </c>
      <c r="S213" s="104">
        <f>F213*R213</f>
        <v>0</v>
      </c>
      <c r="T213" s="105">
        <v>95</v>
      </c>
      <c r="U213" s="105">
        <f t="shared" si="119"/>
        <v>0</v>
      </c>
      <c r="V213" s="106"/>
      <c r="W213" s="301">
        <v>290</v>
      </c>
      <c r="Y213" s="567">
        <v>12</v>
      </c>
      <c r="Z213" s="189"/>
      <c r="AA213" s="541" t="s">
        <v>123</v>
      </c>
      <c r="AB213" s="537">
        <v>44193</v>
      </c>
      <c r="AC213" s="537">
        <v>46018</v>
      </c>
      <c r="AD213" s="769" t="s">
        <v>124</v>
      </c>
      <c r="AE213" s="718" t="s">
        <v>67</v>
      </c>
      <c r="AF213" s="902"/>
      <c r="AG213" s="902"/>
      <c r="AH213" s="824" t="s">
        <v>1198</v>
      </c>
      <c r="AI213" s="706"/>
      <c r="AJ213" s="826"/>
      <c r="AK213" s="568">
        <v>3401110001</v>
      </c>
      <c r="AM213" s="610" t="s">
        <v>1199</v>
      </c>
      <c r="AN213" s="611" t="s">
        <v>1200</v>
      </c>
      <c r="AO213" s="611" t="s">
        <v>1201</v>
      </c>
      <c r="AP213" s="616" t="s">
        <v>1202</v>
      </c>
      <c r="AQ213" s="637" t="s">
        <v>1203</v>
      </c>
      <c r="AR213" s="621"/>
      <c r="AS213" s="618"/>
      <c r="AU213" s="189"/>
      <c r="AV213" s="189"/>
      <c r="AW213" s="189"/>
      <c r="AX213" s="512">
        <f>34*90*90/1000000000</f>
        <v>2.7540000000000003E-4</v>
      </c>
      <c r="AY213" s="523" t="e">
        <f>AX213*#REF!</f>
        <v>#REF!</v>
      </c>
      <c r="AZ213" s="189"/>
      <c r="BA213" s="189"/>
      <c r="BB213" s="189"/>
      <c r="BC213" s="517"/>
      <c r="BD213" s="189" t="s">
        <v>315</v>
      </c>
      <c r="BF213" s="445"/>
      <c r="BG213" s="442"/>
      <c r="BH213" s="442"/>
    </row>
    <row r="214" spans="1:72" ht="27.75" customHeight="1">
      <c r="A214" s="116">
        <v>4627101826023</v>
      </c>
      <c r="B214" s="100">
        <v>2401</v>
      </c>
      <c r="C214" s="251" t="s">
        <v>1204</v>
      </c>
      <c r="D214" s="826"/>
      <c r="E214" s="110" t="s">
        <v>682</v>
      </c>
      <c r="F214" s="249"/>
      <c r="G214" s="190"/>
      <c r="H214" s="190"/>
      <c r="I214" s="238"/>
      <c r="J214" s="238">
        <v>155</v>
      </c>
      <c r="K214" s="104">
        <f t="shared" si="124"/>
        <v>0</v>
      </c>
      <c r="L214" s="238">
        <f t="shared" si="120"/>
        <v>162.75</v>
      </c>
      <c r="M214" s="104">
        <f>F214*L214</f>
        <v>0</v>
      </c>
      <c r="N214" s="238">
        <f t="shared" si="121"/>
        <v>170.5</v>
      </c>
      <c r="O214" s="104">
        <f>F214*N214</f>
        <v>0</v>
      </c>
      <c r="P214" s="238">
        <f t="shared" si="122"/>
        <v>178.25</v>
      </c>
      <c r="Q214" s="104">
        <f>F214*P214</f>
        <v>0</v>
      </c>
      <c r="R214" s="238">
        <f t="shared" si="123"/>
        <v>193.75</v>
      </c>
      <c r="S214" s="104">
        <f>F214*R214</f>
        <v>0</v>
      </c>
      <c r="T214" s="105">
        <v>95</v>
      </c>
      <c r="U214" s="105">
        <f t="shared" si="119"/>
        <v>0</v>
      </c>
      <c r="V214" s="106"/>
      <c r="W214" s="301">
        <v>290</v>
      </c>
      <c r="Y214" s="567">
        <v>12</v>
      </c>
      <c r="Z214" s="189"/>
      <c r="AA214" s="541" t="s">
        <v>123</v>
      </c>
      <c r="AB214" s="537">
        <v>44193</v>
      </c>
      <c r="AC214" s="537">
        <v>46018</v>
      </c>
      <c r="AD214" s="769" t="s">
        <v>124</v>
      </c>
      <c r="AE214" s="718" t="s">
        <v>67</v>
      </c>
      <c r="AF214" s="902"/>
      <c r="AG214" s="902"/>
      <c r="AH214" s="824" t="s">
        <v>1198</v>
      </c>
      <c r="AI214" s="706"/>
      <c r="AJ214" s="826"/>
      <c r="AK214" s="568">
        <v>3401110001</v>
      </c>
      <c r="AM214" s="610" t="s">
        <v>1205</v>
      </c>
      <c r="AN214" s="611" t="s">
        <v>1206</v>
      </c>
      <c r="AO214" s="611" t="s">
        <v>1201</v>
      </c>
      <c r="AP214" s="616" t="s">
        <v>1207</v>
      </c>
      <c r="AQ214" s="637" t="s">
        <v>1208</v>
      </c>
      <c r="AR214" s="621"/>
      <c r="AS214" s="618"/>
      <c r="AU214" s="189"/>
      <c r="AV214" s="189"/>
      <c r="AW214" s="189"/>
      <c r="AX214" s="512">
        <f>34*90*90/1000000000</f>
        <v>2.7540000000000003E-4</v>
      </c>
      <c r="AY214" s="523" t="e">
        <f>AX214*#REF!</f>
        <v>#REF!</v>
      </c>
      <c r="AZ214" s="189"/>
      <c r="BA214" s="189"/>
      <c r="BB214" s="189"/>
      <c r="BC214" s="517"/>
      <c r="BD214" s="189" t="s">
        <v>315</v>
      </c>
      <c r="BF214" s="445"/>
      <c r="BG214" s="442"/>
      <c r="BH214" s="442"/>
    </row>
    <row r="215" spans="1:72" ht="21" customHeight="1">
      <c r="A215" s="116">
        <v>4627101826047</v>
      </c>
      <c r="B215" s="100">
        <v>2402</v>
      </c>
      <c r="C215" s="251" t="s">
        <v>1209</v>
      </c>
      <c r="D215" s="826"/>
      <c r="E215" s="110" t="s">
        <v>682</v>
      </c>
      <c r="F215" s="249"/>
      <c r="G215" s="190"/>
      <c r="H215" s="190"/>
      <c r="I215" s="238"/>
      <c r="J215" s="238">
        <v>155</v>
      </c>
      <c r="K215" s="104">
        <f t="shared" si="124"/>
        <v>0</v>
      </c>
      <c r="L215" s="238">
        <f t="shared" si="120"/>
        <v>162.75</v>
      </c>
      <c r="M215" s="104">
        <f>F215*L215</f>
        <v>0</v>
      </c>
      <c r="N215" s="238">
        <f t="shared" si="121"/>
        <v>170.5</v>
      </c>
      <c r="O215" s="104">
        <f>F215*N215</f>
        <v>0</v>
      </c>
      <c r="P215" s="238">
        <f t="shared" si="122"/>
        <v>178.25</v>
      </c>
      <c r="Q215" s="104">
        <f>F215*P215</f>
        <v>0</v>
      </c>
      <c r="R215" s="238">
        <f t="shared" si="123"/>
        <v>193.75</v>
      </c>
      <c r="S215" s="104">
        <f>F215*R215</f>
        <v>0</v>
      </c>
      <c r="T215" s="105">
        <v>95</v>
      </c>
      <c r="U215" s="105">
        <f t="shared" si="119"/>
        <v>0</v>
      </c>
      <c r="V215" s="106"/>
      <c r="W215" s="301">
        <v>290</v>
      </c>
      <c r="Y215" s="567">
        <v>12</v>
      </c>
      <c r="Z215" s="189"/>
      <c r="AA215" s="541" t="s">
        <v>123</v>
      </c>
      <c r="AB215" s="537">
        <v>44193</v>
      </c>
      <c r="AC215" s="537">
        <v>46018</v>
      </c>
      <c r="AD215" s="769" t="s">
        <v>124</v>
      </c>
      <c r="AE215" s="718" t="s">
        <v>67</v>
      </c>
      <c r="AF215" s="902"/>
      <c r="AG215" s="902"/>
      <c r="AH215" s="824" t="s">
        <v>1198</v>
      </c>
      <c r="AI215" s="706"/>
      <c r="AJ215" s="826"/>
      <c r="AK215" s="568">
        <v>3401110001</v>
      </c>
      <c r="AM215" s="610" t="s">
        <v>1210</v>
      </c>
      <c r="AN215" s="611" t="s">
        <v>1211</v>
      </c>
      <c r="AO215" s="611" t="s">
        <v>1201</v>
      </c>
      <c r="AP215" s="616" t="s">
        <v>1212</v>
      </c>
      <c r="AQ215" s="637" t="s">
        <v>1213</v>
      </c>
      <c r="AR215" s="621"/>
      <c r="AS215" s="618"/>
      <c r="AU215" s="189"/>
      <c r="AV215" s="189"/>
      <c r="AW215" s="189"/>
      <c r="AX215" s="512">
        <f>71*70*24/1000000000</f>
        <v>1.1928E-4</v>
      </c>
      <c r="AY215" s="523" t="e">
        <f>AX215*#REF!</f>
        <v>#REF!</v>
      </c>
      <c r="AZ215" s="189"/>
      <c r="BA215" s="189"/>
      <c r="BB215" s="189"/>
      <c r="BC215" s="517"/>
      <c r="BD215" s="189" t="s">
        <v>315</v>
      </c>
      <c r="BF215" s="445"/>
      <c r="BG215" s="442"/>
      <c r="BH215" s="442"/>
    </row>
    <row r="216" spans="1:72" ht="22.5" customHeight="1">
      <c r="A216" s="116">
        <v>4627101824715</v>
      </c>
      <c r="B216" s="100">
        <v>2403</v>
      </c>
      <c r="C216" s="251" t="s">
        <v>1214</v>
      </c>
      <c r="D216" s="826"/>
      <c r="E216" s="110" t="s">
        <v>902</v>
      </c>
      <c r="F216" s="249"/>
      <c r="G216" s="190"/>
      <c r="H216" s="190"/>
      <c r="I216" s="238"/>
      <c r="J216" s="238">
        <v>260</v>
      </c>
      <c r="K216" s="104">
        <f t="shared" si="124"/>
        <v>0</v>
      </c>
      <c r="L216" s="238">
        <f t="shared" si="120"/>
        <v>273</v>
      </c>
      <c r="M216" s="104">
        <f t="shared" ref="M216:M222" si="125">L216*F216</f>
        <v>0</v>
      </c>
      <c r="N216" s="238">
        <f t="shared" si="121"/>
        <v>286</v>
      </c>
      <c r="O216" s="104">
        <f t="shared" ref="O216:O222" si="126">N216*F216</f>
        <v>0</v>
      </c>
      <c r="P216" s="238">
        <f t="shared" si="122"/>
        <v>299</v>
      </c>
      <c r="Q216" s="104">
        <f t="shared" ref="Q216:Q222" si="127">P216*F216</f>
        <v>0</v>
      </c>
      <c r="R216" s="238">
        <f t="shared" si="123"/>
        <v>325</v>
      </c>
      <c r="S216" s="104">
        <f t="shared" ref="S216:S222" si="128">R216*F216</f>
        <v>0</v>
      </c>
      <c r="T216" s="105">
        <v>150</v>
      </c>
      <c r="U216" s="105">
        <f t="shared" si="119"/>
        <v>0</v>
      </c>
      <c r="V216" s="106"/>
      <c r="W216" s="301">
        <v>490</v>
      </c>
      <c r="Y216" s="567">
        <v>12</v>
      </c>
      <c r="Z216" s="189"/>
      <c r="AA216" s="541" t="s">
        <v>123</v>
      </c>
      <c r="AB216" s="537">
        <v>44193</v>
      </c>
      <c r="AC216" s="537">
        <v>46018</v>
      </c>
      <c r="AD216" s="769" t="s">
        <v>124</v>
      </c>
      <c r="AE216" s="718" t="s">
        <v>67</v>
      </c>
      <c r="AF216" s="902"/>
      <c r="AG216" s="902"/>
      <c r="AH216" s="824" t="s">
        <v>1215</v>
      </c>
      <c r="AI216" s="706"/>
      <c r="AJ216" s="826"/>
      <c r="AK216" s="568">
        <v>3401110001</v>
      </c>
      <c r="AM216" s="610" t="s">
        <v>1216</v>
      </c>
      <c r="AN216" s="611" t="s">
        <v>1217</v>
      </c>
      <c r="AO216" s="611" t="s">
        <v>1218</v>
      </c>
      <c r="AP216" s="616" t="s">
        <v>1219</v>
      </c>
      <c r="AQ216" s="648" t="s">
        <v>1220</v>
      </c>
      <c r="AR216" s="621"/>
      <c r="AS216" s="618"/>
      <c r="AU216" s="189"/>
      <c r="AV216" s="189"/>
      <c r="AW216" s="189"/>
      <c r="AX216" s="512">
        <f>34*90*90/1000000000</f>
        <v>2.7540000000000003E-4</v>
      </c>
      <c r="AY216" s="523" t="e">
        <f>AX216*#REF!</f>
        <v>#REF!</v>
      </c>
      <c r="AZ216" s="189"/>
      <c r="BA216" s="189"/>
      <c r="BB216" s="189"/>
      <c r="BC216" s="517"/>
      <c r="BD216" s="189" t="s">
        <v>315</v>
      </c>
      <c r="BF216" s="445"/>
      <c r="BG216" s="442"/>
      <c r="BH216" s="442"/>
    </row>
    <row r="217" spans="1:72" ht="23.25" customHeight="1">
      <c r="A217" s="116">
        <v>4627101824739</v>
      </c>
      <c r="B217" s="100">
        <v>2404</v>
      </c>
      <c r="C217" s="251" t="s">
        <v>1221</v>
      </c>
      <c r="D217" s="826"/>
      <c r="E217" s="110" t="s">
        <v>902</v>
      </c>
      <c r="F217" s="249"/>
      <c r="G217" s="190"/>
      <c r="H217" s="190"/>
      <c r="I217" s="238"/>
      <c r="J217" s="238">
        <v>260</v>
      </c>
      <c r="K217" s="104">
        <f t="shared" si="124"/>
        <v>0</v>
      </c>
      <c r="L217" s="238">
        <f t="shared" si="120"/>
        <v>273</v>
      </c>
      <c r="M217" s="104">
        <f t="shared" si="125"/>
        <v>0</v>
      </c>
      <c r="N217" s="238">
        <f t="shared" si="121"/>
        <v>286</v>
      </c>
      <c r="O217" s="104">
        <f t="shared" si="126"/>
        <v>0</v>
      </c>
      <c r="P217" s="238">
        <f t="shared" si="122"/>
        <v>299</v>
      </c>
      <c r="Q217" s="104">
        <f t="shared" si="127"/>
        <v>0</v>
      </c>
      <c r="R217" s="238">
        <f t="shared" si="123"/>
        <v>325</v>
      </c>
      <c r="S217" s="104">
        <f t="shared" si="128"/>
        <v>0</v>
      </c>
      <c r="T217" s="105">
        <v>150</v>
      </c>
      <c r="U217" s="105">
        <f t="shared" si="119"/>
        <v>0</v>
      </c>
      <c r="V217" s="106"/>
      <c r="W217" s="301">
        <v>490</v>
      </c>
      <c r="Y217" s="567">
        <v>12</v>
      </c>
      <c r="Z217" s="189"/>
      <c r="AA217" s="541" t="s">
        <v>123</v>
      </c>
      <c r="AB217" s="537">
        <v>44193</v>
      </c>
      <c r="AC217" s="537">
        <v>46018</v>
      </c>
      <c r="AD217" s="769" t="s">
        <v>124</v>
      </c>
      <c r="AE217" s="718" t="s">
        <v>67</v>
      </c>
      <c r="AF217" s="902"/>
      <c r="AG217" s="902"/>
      <c r="AH217" s="824" t="s">
        <v>1215</v>
      </c>
      <c r="AI217" s="706"/>
      <c r="AJ217" s="826"/>
      <c r="AK217" s="568">
        <v>3401110001</v>
      </c>
      <c r="AM217" s="610" t="s">
        <v>1222</v>
      </c>
      <c r="AN217" s="611" t="s">
        <v>1223</v>
      </c>
      <c r="AO217" s="611" t="s">
        <v>1224</v>
      </c>
      <c r="AP217" s="616" t="s">
        <v>1225</v>
      </c>
      <c r="AQ217" s="637" t="s">
        <v>1226</v>
      </c>
      <c r="AR217" s="621"/>
      <c r="AS217" s="618"/>
      <c r="AU217" s="189"/>
      <c r="AV217" s="189"/>
      <c r="AW217" s="189"/>
      <c r="AX217" s="512">
        <f>34*90*90/1000000000</f>
        <v>2.7540000000000003E-4</v>
      </c>
      <c r="AY217" s="523" t="e">
        <f>AX217*#REF!</f>
        <v>#REF!</v>
      </c>
      <c r="AZ217" s="189"/>
      <c r="BA217" s="189"/>
      <c r="BB217" s="189"/>
      <c r="BC217" s="517"/>
      <c r="BD217" s="189" t="s">
        <v>315</v>
      </c>
      <c r="BF217" s="445"/>
      <c r="BG217" s="442"/>
      <c r="BH217" s="442"/>
    </row>
    <row r="218" spans="1:72" ht="23.25" customHeight="1">
      <c r="A218" s="116">
        <v>4627101829949</v>
      </c>
      <c r="B218" s="100">
        <v>3383</v>
      </c>
      <c r="C218" s="251" t="s">
        <v>1227</v>
      </c>
      <c r="D218" s="826"/>
      <c r="E218" s="110" t="s">
        <v>902</v>
      </c>
      <c r="F218" s="249"/>
      <c r="G218" s="190"/>
      <c r="H218" s="190"/>
      <c r="I218" s="238"/>
      <c r="J218" s="238">
        <v>285</v>
      </c>
      <c r="K218" s="104">
        <f t="shared" si="124"/>
        <v>0</v>
      </c>
      <c r="L218" s="238">
        <f t="shared" si="120"/>
        <v>299.25</v>
      </c>
      <c r="M218" s="104">
        <f t="shared" si="125"/>
        <v>0</v>
      </c>
      <c r="N218" s="238">
        <f t="shared" si="121"/>
        <v>313.5</v>
      </c>
      <c r="O218" s="104">
        <f t="shared" si="126"/>
        <v>0</v>
      </c>
      <c r="P218" s="238">
        <f t="shared" si="122"/>
        <v>327.75</v>
      </c>
      <c r="Q218" s="104">
        <f t="shared" si="127"/>
        <v>0</v>
      </c>
      <c r="R218" s="238">
        <f t="shared" si="123"/>
        <v>356.25</v>
      </c>
      <c r="S218" s="104">
        <f t="shared" si="128"/>
        <v>0</v>
      </c>
      <c r="T218" s="105">
        <v>150</v>
      </c>
      <c r="U218" s="105">
        <f t="shared" si="119"/>
        <v>0</v>
      </c>
      <c r="V218" s="106"/>
      <c r="W218" s="301">
        <v>540</v>
      </c>
      <c r="Y218" s="567">
        <v>12</v>
      </c>
      <c r="Z218" s="189"/>
      <c r="AA218" s="541" t="s">
        <v>123</v>
      </c>
      <c r="AB218" s="537">
        <v>44193</v>
      </c>
      <c r="AC218" s="537">
        <v>46018</v>
      </c>
      <c r="AD218" s="769" t="s">
        <v>124</v>
      </c>
      <c r="AE218" s="718" t="s">
        <v>67</v>
      </c>
      <c r="AF218" s="902"/>
      <c r="AG218" s="902"/>
      <c r="AH218" s="824"/>
      <c r="AI218" s="706"/>
      <c r="AJ218" s="826"/>
      <c r="AK218" s="568">
        <v>3401110001</v>
      </c>
      <c r="AM218" s="610" t="s">
        <v>1228</v>
      </c>
      <c r="AN218" s="611" t="s">
        <v>1229</v>
      </c>
      <c r="AO218" s="611" t="s">
        <v>1230</v>
      </c>
      <c r="AP218" s="616" t="s">
        <v>1231</v>
      </c>
      <c r="AQ218" s="637" t="s">
        <v>1232</v>
      </c>
      <c r="AR218" s="621"/>
      <c r="AS218" s="618"/>
      <c r="AU218" s="189"/>
      <c r="AV218" s="189"/>
      <c r="AW218" s="189"/>
      <c r="AX218" s="512"/>
      <c r="AY218" s="523"/>
      <c r="AZ218" s="189"/>
      <c r="BA218" s="189"/>
      <c r="BB218" s="189"/>
      <c r="BC218" s="517"/>
      <c r="BD218" s="189"/>
      <c r="BF218" s="445"/>
      <c r="BG218" s="442"/>
      <c r="BH218" s="442"/>
    </row>
    <row r="219" spans="1:72" ht="25.5" customHeight="1">
      <c r="A219" s="116">
        <v>4627101829987</v>
      </c>
      <c r="B219" s="100">
        <v>3384</v>
      </c>
      <c r="C219" s="251" t="s">
        <v>1233</v>
      </c>
      <c r="D219" s="826"/>
      <c r="E219" s="110" t="s">
        <v>902</v>
      </c>
      <c r="F219" s="249"/>
      <c r="G219" s="190"/>
      <c r="H219" s="190"/>
      <c r="I219" s="238"/>
      <c r="J219" s="238">
        <v>285</v>
      </c>
      <c r="K219" s="104">
        <f t="shared" si="124"/>
        <v>0</v>
      </c>
      <c r="L219" s="238">
        <f t="shared" si="120"/>
        <v>299.25</v>
      </c>
      <c r="M219" s="104">
        <f t="shared" si="125"/>
        <v>0</v>
      </c>
      <c r="N219" s="238">
        <f t="shared" si="121"/>
        <v>313.5</v>
      </c>
      <c r="O219" s="104">
        <f t="shared" si="126"/>
        <v>0</v>
      </c>
      <c r="P219" s="238">
        <f t="shared" si="122"/>
        <v>327.75</v>
      </c>
      <c r="Q219" s="104">
        <f t="shared" si="127"/>
        <v>0</v>
      </c>
      <c r="R219" s="238">
        <f t="shared" si="123"/>
        <v>356.25</v>
      </c>
      <c r="S219" s="104">
        <f t="shared" si="128"/>
        <v>0</v>
      </c>
      <c r="T219" s="105">
        <v>150</v>
      </c>
      <c r="U219" s="105">
        <f t="shared" si="119"/>
        <v>0</v>
      </c>
      <c r="V219" s="106"/>
      <c r="W219" s="301">
        <v>540</v>
      </c>
      <c r="Y219" s="567">
        <v>12</v>
      </c>
      <c r="Z219" s="189"/>
      <c r="AA219" s="541" t="s">
        <v>123</v>
      </c>
      <c r="AB219" s="537">
        <v>44193</v>
      </c>
      <c r="AC219" s="537">
        <v>46018</v>
      </c>
      <c r="AD219" s="769" t="s">
        <v>124</v>
      </c>
      <c r="AE219" s="718" t="s">
        <v>67</v>
      </c>
      <c r="AF219" s="902"/>
      <c r="AG219" s="902"/>
      <c r="AH219" s="824"/>
      <c r="AI219" s="706"/>
      <c r="AJ219" s="826"/>
      <c r="AK219" s="568">
        <v>3401110001</v>
      </c>
      <c r="AM219" s="610" t="s">
        <v>1234</v>
      </c>
      <c r="AN219" s="611" t="s">
        <v>1235</v>
      </c>
      <c r="AO219" s="611" t="s">
        <v>1230</v>
      </c>
      <c r="AP219" s="616" t="s">
        <v>1236</v>
      </c>
      <c r="AQ219" s="637" t="s">
        <v>1237</v>
      </c>
      <c r="AR219" s="621"/>
      <c r="AS219" s="618"/>
      <c r="AU219" s="189"/>
      <c r="AV219" s="189"/>
      <c r="AW219" s="189"/>
      <c r="AX219" s="512"/>
      <c r="AY219" s="523"/>
      <c r="AZ219" s="189"/>
      <c r="BA219" s="189"/>
      <c r="BB219" s="189"/>
      <c r="BC219" s="517"/>
      <c r="BD219" s="189"/>
      <c r="BF219" s="445"/>
      <c r="BG219" s="442"/>
      <c r="BH219" s="442"/>
    </row>
    <row r="220" spans="1:72" ht="22.5" customHeight="1">
      <c r="A220" s="116">
        <v>4627186340018</v>
      </c>
      <c r="B220" s="100">
        <v>3386</v>
      </c>
      <c r="C220" s="251" t="s">
        <v>1238</v>
      </c>
      <c r="D220" s="826"/>
      <c r="E220" s="110" t="s">
        <v>321</v>
      </c>
      <c r="F220" s="249"/>
      <c r="G220" s="190"/>
      <c r="H220" s="190"/>
      <c r="I220" s="238"/>
      <c r="J220" s="238">
        <v>205</v>
      </c>
      <c r="K220" s="104">
        <f t="shared" si="124"/>
        <v>0</v>
      </c>
      <c r="L220" s="238">
        <f t="shared" si="120"/>
        <v>215.25</v>
      </c>
      <c r="M220" s="104">
        <f t="shared" si="125"/>
        <v>0</v>
      </c>
      <c r="N220" s="238">
        <f t="shared" si="121"/>
        <v>225.5</v>
      </c>
      <c r="O220" s="104">
        <f t="shared" si="126"/>
        <v>0</v>
      </c>
      <c r="P220" s="238">
        <f t="shared" si="122"/>
        <v>235.75</v>
      </c>
      <c r="Q220" s="104">
        <f t="shared" si="127"/>
        <v>0</v>
      </c>
      <c r="R220" s="238">
        <f t="shared" si="123"/>
        <v>256.25</v>
      </c>
      <c r="S220" s="104">
        <f t="shared" si="128"/>
        <v>0</v>
      </c>
      <c r="T220" s="105">
        <v>220</v>
      </c>
      <c r="U220" s="105">
        <f t="shared" si="119"/>
        <v>0</v>
      </c>
      <c r="V220" s="106"/>
      <c r="W220" s="301">
        <v>389.5</v>
      </c>
      <c r="Y220" s="567">
        <v>12</v>
      </c>
      <c r="Z220" s="189">
        <v>6</v>
      </c>
      <c r="AA220" s="776" t="s">
        <v>1239</v>
      </c>
      <c r="AB220" s="537">
        <v>44907</v>
      </c>
      <c r="AC220" s="537">
        <v>47278</v>
      </c>
      <c r="AD220" s="718" t="s">
        <v>1240</v>
      </c>
      <c r="AE220" s="718" t="s">
        <v>67</v>
      </c>
      <c r="AF220" s="902"/>
      <c r="AG220" s="902"/>
      <c r="AH220" s="824" t="s">
        <v>1241</v>
      </c>
      <c r="AI220" s="706"/>
      <c r="AJ220" s="826"/>
      <c r="AK220" s="568">
        <v>3401300000</v>
      </c>
      <c r="AM220" s="610" t="s">
        <v>1242</v>
      </c>
      <c r="AN220" s="611" t="s">
        <v>1243</v>
      </c>
      <c r="AO220" s="611" t="s">
        <v>1244</v>
      </c>
      <c r="AP220" s="616" t="s">
        <v>1245</v>
      </c>
      <c r="AQ220" s="637" t="s">
        <v>1246</v>
      </c>
      <c r="AR220" s="621"/>
      <c r="AS220" s="618"/>
      <c r="AU220" s="189"/>
      <c r="AV220" s="189"/>
      <c r="AW220" s="189"/>
      <c r="AX220" s="512"/>
      <c r="AY220" s="523"/>
      <c r="AZ220" s="189"/>
      <c r="BA220" s="189"/>
      <c r="BB220" s="189"/>
      <c r="BC220" s="517"/>
      <c r="BD220" s="189"/>
      <c r="BF220" s="445"/>
      <c r="BG220" s="442"/>
      <c r="BH220" s="442"/>
    </row>
    <row r="221" spans="1:72" ht="23.25" customHeight="1">
      <c r="A221" s="116">
        <v>4627186340025</v>
      </c>
      <c r="B221" s="100">
        <v>3385</v>
      </c>
      <c r="C221" s="251" t="s">
        <v>1247</v>
      </c>
      <c r="D221" s="826"/>
      <c r="E221" s="110" t="s">
        <v>321</v>
      </c>
      <c r="F221" s="249"/>
      <c r="G221" s="190"/>
      <c r="H221" s="190"/>
      <c r="I221" s="238"/>
      <c r="J221" s="238">
        <v>205</v>
      </c>
      <c r="K221" s="104">
        <f t="shared" si="124"/>
        <v>0</v>
      </c>
      <c r="L221" s="238">
        <f t="shared" si="120"/>
        <v>215.25</v>
      </c>
      <c r="M221" s="104">
        <f t="shared" si="125"/>
        <v>0</v>
      </c>
      <c r="N221" s="238">
        <f t="shared" si="121"/>
        <v>225.5</v>
      </c>
      <c r="O221" s="104">
        <f t="shared" si="126"/>
        <v>0</v>
      </c>
      <c r="P221" s="238">
        <f t="shared" si="122"/>
        <v>235.75</v>
      </c>
      <c r="Q221" s="104">
        <f t="shared" si="127"/>
        <v>0</v>
      </c>
      <c r="R221" s="238">
        <f t="shared" si="123"/>
        <v>256.25</v>
      </c>
      <c r="S221" s="104">
        <f t="shared" si="128"/>
        <v>0</v>
      </c>
      <c r="T221" s="105">
        <v>220</v>
      </c>
      <c r="U221" s="105">
        <f t="shared" si="119"/>
        <v>0</v>
      </c>
      <c r="V221" s="106"/>
      <c r="W221" s="301">
        <v>389.5</v>
      </c>
      <c r="Y221" s="567">
        <v>12</v>
      </c>
      <c r="Z221" s="189">
        <v>6</v>
      </c>
      <c r="AA221" s="776" t="s">
        <v>1239</v>
      </c>
      <c r="AB221" s="537">
        <v>44907</v>
      </c>
      <c r="AC221" s="537">
        <v>47278</v>
      </c>
      <c r="AD221" s="718" t="s">
        <v>1240</v>
      </c>
      <c r="AE221" s="718" t="s">
        <v>67</v>
      </c>
      <c r="AF221" s="902"/>
      <c r="AG221" s="902"/>
      <c r="AH221" s="824" t="s">
        <v>1241</v>
      </c>
      <c r="AI221" s="706"/>
      <c r="AJ221" s="826"/>
      <c r="AK221" s="568">
        <v>3401300000</v>
      </c>
      <c r="AM221" s="610" t="s">
        <v>1248</v>
      </c>
      <c r="AN221" s="611" t="s">
        <v>1249</v>
      </c>
      <c r="AO221" s="611" t="s">
        <v>1250</v>
      </c>
      <c r="AP221" s="616" t="s">
        <v>1251</v>
      </c>
      <c r="AQ221" s="637" t="s">
        <v>1252</v>
      </c>
      <c r="AR221" s="621"/>
      <c r="AS221" s="618"/>
      <c r="AU221" s="189"/>
      <c r="AV221" s="189"/>
      <c r="AW221" s="189"/>
      <c r="AX221" s="512"/>
      <c r="AY221" s="523"/>
      <c r="AZ221" s="189"/>
      <c r="BA221" s="189"/>
      <c r="BB221" s="189"/>
      <c r="BC221" s="517"/>
      <c r="BD221" s="189"/>
      <c r="BF221" s="445"/>
      <c r="BG221" s="442"/>
      <c r="BH221" s="442"/>
    </row>
    <row r="222" spans="1:72" ht="22.5" customHeight="1">
      <c r="A222" s="116">
        <v>4627101824777</v>
      </c>
      <c r="B222" s="100">
        <v>2405</v>
      </c>
      <c r="C222" s="251" t="s">
        <v>1253</v>
      </c>
      <c r="D222" s="826"/>
      <c r="E222" s="110" t="s">
        <v>321</v>
      </c>
      <c r="F222" s="249"/>
      <c r="G222" s="190"/>
      <c r="H222" s="190"/>
      <c r="I222" s="238"/>
      <c r="J222" s="238">
        <v>195</v>
      </c>
      <c r="K222" s="104">
        <f t="shared" si="124"/>
        <v>0</v>
      </c>
      <c r="L222" s="238">
        <f t="shared" si="120"/>
        <v>204.75</v>
      </c>
      <c r="M222" s="104">
        <f t="shared" si="125"/>
        <v>0</v>
      </c>
      <c r="N222" s="238">
        <f t="shared" si="121"/>
        <v>214.5</v>
      </c>
      <c r="O222" s="104">
        <f t="shared" si="126"/>
        <v>0</v>
      </c>
      <c r="P222" s="238">
        <f t="shared" si="122"/>
        <v>224.25</v>
      </c>
      <c r="Q222" s="104">
        <f t="shared" si="127"/>
        <v>0</v>
      </c>
      <c r="R222" s="238">
        <f t="shared" si="123"/>
        <v>243.75</v>
      </c>
      <c r="S222" s="104">
        <f t="shared" si="128"/>
        <v>0</v>
      </c>
      <c r="T222" s="105">
        <v>220</v>
      </c>
      <c r="U222" s="105">
        <f t="shared" si="119"/>
        <v>0</v>
      </c>
      <c r="V222" s="106"/>
      <c r="W222" s="301">
        <v>370</v>
      </c>
      <c r="Y222" s="567">
        <v>12</v>
      </c>
      <c r="Z222" s="189">
        <v>6</v>
      </c>
      <c r="AA222" s="775" t="s">
        <v>288</v>
      </c>
      <c r="AB222" s="538">
        <v>44910</v>
      </c>
      <c r="AC222" s="538">
        <v>45356</v>
      </c>
      <c r="AD222" s="719" t="s">
        <v>482</v>
      </c>
      <c r="AE222" s="718" t="s">
        <v>67</v>
      </c>
      <c r="AF222" s="902" t="s">
        <v>1254</v>
      </c>
      <c r="AG222" s="902" t="s">
        <v>465</v>
      </c>
      <c r="AH222" s="824" t="s">
        <v>1241</v>
      </c>
      <c r="AI222" s="687" t="s">
        <v>1255</v>
      </c>
      <c r="AJ222" s="903" t="s">
        <v>1256</v>
      </c>
      <c r="AK222" s="568">
        <v>3401300000</v>
      </c>
      <c r="AM222" s="588" t="s">
        <v>1257</v>
      </c>
      <c r="AN222" s="273" t="s">
        <v>1258</v>
      </c>
      <c r="AO222" s="273" t="s">
        <v>1259</v>
      </c>
      <c r="AP222" s="616" t="s">
        <v>1260</v>
      </c>
      <c r="AQ222" s="637" t="s">
        <v>1261</v>
      </c>
      <c r="AR222" s="621"/>
      <c r="AS222" s="618"/>
      <c r="AU222" s="511"/>
      <c r="AV222" s="511"/>
      <c r="AW222" s="511"/>
      <c r="AX222" s="512">
        <f>160*64*36/1000000000</f>
        <v>3.6863999999999999E-4</v>
      </c>
      <c r="AY222" s="523" t="e">
        <f>AX222*#REF!</f>
        <v>#REF!</v>
      </c>
      <c r="AZ222" s="511">
        <v>17</v>
      </c>
      <c r="BA222" s="511">
        <v>13</v>
      </c>
      <c r="BB222" s="511">
        <v>21</v>
      </c>
      <c r="BC222" s="517"/>
      <c r="BD222" s="189" t="s">
        <v>315</v>
      </c>
      <c r="BF222" s="445"/>
      <c r="BG222" s="442"/>
      <c r="BH222" s="442"/>
    </row>
    <row r="223" spans="1:72" ht="24.75" customHeight="1">
      <c r="A223" s="116">
        <v>4627101823947</v>
      </c>
      <c r="B223" s="100">
        <v>1953</v>
      </c>
      <c r="C223" s="251" t="s">
        <v>1262</v>
      </c>
      <c r="D223" s="826"/>
      <c r="E223" s="110" t="s">
        <v>321</v>
      </c>
      <c r="F223" s="249"/>
      <c r="G223" s="190"/>
      <c r="H223" s="190"/>
      <c r="I223" s="238"/>
      <c r="J223" s="275">
        <v>195</v>
      </c>
      <c r="K223" s="104">
        <f t="shared" si="124"/>
        <v>0</v>
      </c>
      <c r="L223" s="238">
        <f t="shared" si="120"/>
        <v>204.75</v>
      </c>
      <c r="M223" s="104">
        <f>F223*L223</f>
        <v>0</v>
      </c>
      <c r="N223" s="238">
        <f t="shared" si="121"/>
        <v>214.5</v>
      </c>
      <c r="O223" s="104">
        <f>F223*N223</f>
        <v>0</v>
      </c>
      <c r="P223" s="238">
        <f t="shared" si="122"/>
        <v>224.25</v>
      </c>
      <c r="Q223" s="104">
        <f>F223*P223</f>
        <v>0</v>
      </c>
      <c r="R223" s="238">
        <f t="shared" si="123"/>
        <v>243.75</v>
      </c>
      <c r="S223" s="104">
        <f>F223*R223</f>
        <v>0</v>
      </c>
      <c r="T223" s="105">
        <v>220</v>
      </c>
      <c r="U223" s="105">
        <f t="shared" si="119"/>
        <v>0</v>
      </c>
      <c r="V223" s="106"/>
      <c r="W223" s="301">
        <v>370</v>
      </c>
      <c r="Y223" s="567">
        <v>12</v>
      </c>
      <c r="Z223" s="189">
        <v>6</v>
      </c>
      <c r="AA223" s="775" t="s">
        <v>288</v>
      </c>
      <c r="AB223" s="538">
        <v>44910</v>
      </c>
      <c r="AC223" s="538">
        <v>45356</v>
      </c>
      <c r="AD223" s="719" t="s">
        <v>482</v>
      </c>
      <c r="AE223" s="718" t="s">
        <v>67</v>
      </c>
      <c r="AF223" s="902" t="s">
        <v>1263</v>
      </c>
      <c r="AG223" s="902" t="s">
        <v>1022</v>
      </c>
      <c r="AH223" s="824" t="s">
        <v>1241</v>
      </c>
      <c r="AI223" s="687" t="s">
        <v>1255</v>
      </c>
      <c r="AJ223" s="904" t="s">
        <v>1256</v>
      </c>
      <c r="AK223" s="568">
        <v>3401300000</v>
      </c>
      <c r="AM223" s="588" t="s">
        <v>1264</v>
      </c>
      <c r="AN223" s="273" t="s">
        <v>1265</v>
      </c>
      <c r="AO223" s="273" t="s">
        <v>1266</v>
      </c>
      <c r="AP223" s="616" t="s">
        <v>1267</v>
      </c>
      <c r="AQ223" s="637" t="s">
        <v>1268</v>
      </c>
      <c r="AR223" s="621"/>
      <c r="AS223" s="618"/>
      <c r="AU223" s="525"/>
      <c r="AV223" s="525"/>
      <c r="AW223" s="525"/>
      <c r="AX223" s="512">
        <f>158*46*46/1000000000</f>
        <v>3.34328E-4</v>
      </c>
      <c r="AY223" s="523" t="e">
        <f>AX223*#REF!</f>
        <v>#REF!</v>
      </c>
      <c r="AZ223" s="511">
        <v>17</v>
      </c>
      <c r="BA223" s="511">
        <v>13</v>
      </c>
      <c r="BB223" s="511">
        <v>21</v>
      </c>
      <c r="BC223" s="517"/>
      <c r="BD223" s="189" t="s">
        <v>264</v>
      </c>
      <c r="BF223" s="445"/>
      <c r="BG223" s="442"/>
      <c r="BH223" s="442"/>
    </row>
    <row r="224" spans="1:72" ht="21.6" customHeight="1">
      <c r="A224" s="116">
        <v>4627101824876</v>
      </c>
      <c r="B224" s="100">
        <v>2406</v>
      </c>
      <c r="C224" s="251" t="s">
        <v>1269</v>
      </c>
      <c r="D224" s="826"/>
      <c r="E224" s="110" t="s">
        <v>585</v>
      </c>
      <c r="F224" s="249"/>
      <c r="G224" s="190"/>
      <c r="H224" s="190"/>
      <c r="I224" s="238"/>
      <c r="J224" s="238">
        <v>310</v>
      </c>
      <c r="K224" s="104">
        <f t="shared" si="124"/>
        <v>0</v>
      </c>
      <c r="L224" s="238">
        <f t="shared" si="120"/>
        <v>325.5</v>
      </c>
      <c r="M224" s="104">
        <f>L224*F224</f>
        <v>0</v>
      </c>
      <c r="N224" s="238">
        <f t="shared" si="121"/>
        <v>341</v>
      </c>
      <c r="O224" s="104">
        <f>N224*F224</f>
        <v>0</v>
      </c>
      <c r="P224" s="238">
        <f t="shared" si="122"/>
        <v>356.5</v>
      </c>
      <c r="Q224" s="104">
        <f>P224*F224</f>
        <v>0</v>
      </c>
      <c r="R224" s="238">
        <f t="shared" si="123"/>
        <v>387.5</v>
      </c>
      <c r="S224" s="104">
        <f>R224*F224</f>
        <v>0</v>
      </c>
      <c r="T224" s="105">
        <v>286</v>
      </c>
      <c r="U224" s="105">
        <f t="shared" si="119"/>
        <v>0</v>
      </c>
      <c r="V224" s="106"/>
      <c r="W224" s="301">
        <v>585</v>
      </c>
      <c r="Y224" s="567">
        <v>12</v>
      </c>
      <c r="Z224" s="189">
        <v>6</v>
      </c>
      <c r="AA224" s="541" t="s">
        <v>586</v>
      </c>
      <c r="AB224" s="537">
        <v>44727</v>
      </c>
      <c r="AC224" s="537">
        <v>47278</v>
      </c>
      <c r="AD224" s="718" t="s">
        <v>587</v>
      </c>
      <c r="AE224" s="718" t="s">
        <v>67</v>
      </c>
      <c r="AF224" s="902" t="s">
        <v>1254</v>
      </c>
      <c r="AG224" s="902" t="s">
        <v>1034</v>
      </c>
      <c r="AH224" s="824" t="s">
        <v>1191</v>
      </c>
      <c r="AI224" s="687" t="s">
        <v>1270</v>
      </c>
      <c r="AJ224" s="826"/>
      <c r="AK224" s="573">
        <v>3305100000</v>
      </c>
      <c r="AL224" s="558"/>
      <c r="AM224" s="588" t="s">
        <v>1271</v>
      </c>
      <c r="AN224" s="273" t="s">
        <v>1272</v>
      </c>
      <c r="AO224" s="273" t="s">
        <v>1273</v>
      </c>
      <c r="AP224" s="616" t="s">
        <v>1274</v>
      </c>
      <c r="AQ224" s="637" t="s">
        <v>1275</v>
      </c>
      <c r="AR224" s="621"/>
      <c r="AS224" s="618"/>
      <c r="AU224" s="189"/>
      <c r="AV224" s="189"/>
      <c r="AW224" s="189"/>
      <c r="AX224" s="512">
        <f>158*57*57/1000000000</f>
        <v>5.1334199999999996E-4</v>
      </c>
      <c r="AY224" s="523" t="e">
        <f>AX224*#REF!</f>
        <v>#REF!</v>
      </c>
      <c r="AZ224" s="189"/>
      <c r="BA224" s="189"/>
      <c r="BB224" s="189"/>
      <c r="BC224" s="517"/>
      <c r="BD224" s="189" t="s">
        <v>264</v>
      </c>
      <c r="BF224" s="445"/>
      <c r="BG224" s="442"/>
      <c r="BH224" s="442"/>
    </row>
    <row r="225" spans="1:60" ht="22.5" customHeight="1">
      <c r="A225" s="116">
        <v>4627186340377</v>
      </c>
      <c r="B225" s="100">
        <v>3531</v>
      </c>
      <c r="C225" s="251" t="s">
        <v>1276</v>
      </c>
      <c r="D225" s="826"/>
      <c r="E225" s="110" t="s">
        <v>1277</v>
      </c>
      <c r="F225" s="249"/>
      <c r="G225" s="190"/>
      <c r="H225" s="190"/>
      <c r="I225" s="238"/>
      <c r="J225" s="275">
        <v>310</v>
      </c>
      <c r="K225" s="104">
        <f t="shared" si="124"/>
        <v>0</v>
      </c>
      <c r="L225" s="238">
        <f t="shared" si="120"/>
        <v>325.5</v>
      </c>
      <c r="M225" s="104">
        <f>F225*L225</f>
        <v>0</v>
      </c>
      <c r="N225" s="238">
        <f t="shared" si="121"/>
        <v>341</v>
      </c>
      <c r="O225" s="104">
        <f>F225*N225</f>
        <v>0</v>
      </c>
      <c r="P225" s="238">
        <f t="shared" si="122"/>
        <v>356.5</v>
      </c>
      <c r="Q225" s="104">
        <f>F225*P225</f>
        <v>0</v>
      </c>
      <c r="R225" s="238">
        <f t="shared" si="123"/>
        <v>387.5</v>
      </c>
      <c r="S225" s="104">
        <f t="shared" ref="S225:S231" si="129">F225*R225</f>
        <v>0</v>
      </c>
      <c r="T225" s="105">
        <v>290</v>
      </c>
      <c r="U225" s="105">
        <f t="shared" si="119"/>
        <v>0</v>
      </c>
      <c r="V225" s="106"/>
      <c r="W225" s="301">
        <v>585</v>
      </c>
      <c r="Y225" s="567">
        <v>12</v>
      </c>
      <c r="Z225" s="189">
        <v>6</v>
      </c>
      <c r="AA225" s="541" t="s">
        <v>586</v>
      </c>
      <c r="AB225" s="537">
        <v>44727</v>
      </c>
      <c r="AC225" s="537">
        <v>47278</v>
      </c>
      <c r="AD225" s="718" t="s">
        <v>587</v>
      </c>
      <c r="AE225" s="718" t="s">
        <v>67</v>
      </c>
      <c r="AF225" s="902" t="s">
        <v>1263</v>
      </c>
      <c r="AG225" s="902" t="s">
        <v>1022</v>
      </c>
      <c r="AH225" s="824" t="s">
        <v>1191</v>
      </c>
      <c r="AI225" s="687" t="s">
        <v>1270</v>
      </c>
      <c r="AJ225" s="904" t="s">
        <v>1256</v>
      </c>
      <c r="AK225" s="573">
        <v>3305100000</v>
      </c>
      <c r="AL225" s="558"/>
      <c r="AM225" s="588" t="s">
        <v>1278</v>
      </c>
      <c r="AN225" s="273" t="s">
        <v>1279</v>
      </c>
      <c r="AO225" s="273" t="s">
        <v>1280</v>
      </c>
      <c r="AP225" s="616" t="s">
        <v>1281</v>
      </c>
      <c r="AQ225" s="637" t="s">
        <v>1282</v>
      </c>
      <c r="AR225" s="621"/>
      <c r="AS225" s="618"/>
      <c r="AU225" s="525"/>
      <c r="AV225" s="525"/>
      <c r="AW225" s="525"/>
      <c r="AX225" s="512">
        <f>158*46*46/1000000000</f>
        <v>3.34328E-4</v>
      </c>
      <c r="AY225" s="523" t="e">
        <f>AX225*#REF!</f>
        <v>#REF!</v>
      </c>
      <c r="AZ225" s="511">
        <v>17</v>
      </c>
      <c r="BA225" s="511">
        <v>13</v>
      </c>
      <c r="BB225" s="511">
        <v>21</v>
      </c>
      <c r="BC225" s="517"/>
      <c r="BD225" s="189" t="s">
        <v>264</v>
      </c>
      <c r="BF225" s="445"/>
      <c r="BG225" s="442"/>
      <c r="BH225" s="442"/>
    </row>
    <row r="226" spans="1:60" ht="27" customHeight="1">
      <c r="A226" s="116">
        <v>4627186343484</v>
      </c>
      <c r="B226" s="100">
        <v>4439</v>
      </c>
      <c r="C226" s="251" t="s">
        <v>1283</v>
      </c>
      <c r="D226" s="826"/>
      <c r="E226" s="110"/>
      <c r="F226" s="249"/>
      <c r="G226" s="190"/>
      <c r="H226" s="190"/>
      <c r="I226" s="238"/>
      <c r="J226" s="275">
        <v>280</v>
      </c>
      <c r="K226" s="104">
        <f t="shared" si="124"/>
        <v>0</v>
      </c>
      <c r="L226" s="238">
        <f t="shared" si="120"/>
        <v>294</v>
      </c>
      <c r="M226" s="104">
        <f>L226*F226</f>
        <v>0</v>
      </c>
      <c r="N226" s="238">
        <f t="shared" si="121"/>
        <v>308</v>
      </c>
      <c r="O226" s="104">
        <f>N226*F226</f>
        <v>0</v>
      </c>
      <c r="P226" s="238">
        <f t="shared" si="122"/>
        <v>322</v>
      </c>
      <c r="Q226" s="104">
        <f>P226*F226</f>
        <v>0</v>
      </c>
      <c r="R226" s="238">
        <f t="shared" si="123"/>
        <v>350</v>
      </c>
      <c r="S226" s="104">
        <f>R226*F226</f>
        <v>0</v>
      </c>
      <c r="T226" s="105">
        <v>126</v>
      </c>
      <c r="U226" s="105">
        <f>T226*F226</f>
        <v>0</v>
      </c>
      <c r="V226" s="106"/>
      <c r="W226" s="301">
        <v>540</v>
      </c>
      <c r="Y226" s="567">
        <v>12</v>
      </c>
      <c r="Z226" s="189">
        <v>3</v>
      </c>
      <c r="AA226" s="541" t="s">
        <v>1284</v>
      </c>
      <c r="AB226" s="537">
        <v>45156</v>
      </c>
      <c r="AC226" s="537">
        <v>47712</v>
      </c>
      <c r="AD226" s="718" t="s">
        <v>1285</v>
      </c>
      <c r="AE226" s="718" t="s">
        <v>1286</v>
      </c>
      <c r="AF226" s="902" t="s">
        <v>212</v>
      </c>
      <c r="AG226" s="902" t="s">
        <v>1287</v>
      </c>
      <c r="AH226" s="824" t="s">
        <v>1288</v>
      </c>
      <c r="AI226" s="894" t="s">
        <v>1289</v>
      </c>
      <c r="AJ226" s="905" t="s">
        <v>1290</v>
      </c>
      <c r="AK226" s="573"/>
      <c r="AL226" s="558"/>
      <c r="AM226" s="588" t="s">
        <v>1291</v>
      </c>
      <c r="AN226" s="273" t="s">
        <v>1292</v>
      </c>
      <c r="AO226" s="273" t="s">
        <v>1293</v>
      </c>
      <c r="AP226" s="906" t="str">
        <f>AD226</f>
        <v>https://disk.yandex.ru/i/AVzYuD8XsgEBkA</v>
      </c>
      <c r="AQ226" s="637"/>
      <c r="AR226" s="621"/>
      <c r="AS226" s="618"/>
      <c r="AU226" s="525"/>
      <c r="AV226" s="525"/>
      <c r="AW226" s="525"/>
      <c r="AX226" s="512"/>
      <c r="AY226" s="523"/>
      <c r="AZ226" s="511"/>
      <c r="BA226" s="511"/>
      <c r="BB226" s="511"/>
      <c r="BC226" s="517"/>
      <c r="BD226" s="189"/>
      <c r="BF226" s="445"/>
      <c r="BG226" s="442"/>
      <c r="BH226" s="442"/>
    </row>
    <row r="227" spans="1:60" ht="30" customHeight="1">
      <c r="A227" s="116">
        <v>4627101826443</v>
      </c>
      <c r="B227" s="100">
        <v>2413</v>
      </c>
      <c r="C227" s="251" t="s">
        <v>1294</v>
      </c>
      <c r="D227" s="826"/>
      <c r="E227" s="110" t="s">
        <v>401</v>
      </c>
      <c r="F227" s="249"/>
      <c r="G227" s="190"/>
      <c r="H227" s="190"/>
      <c r="I227" s="238"/>
      <c r="J227" s="238">
        <v>320</v>
      </c>
      <c r="K227" s="104">
        <f t="shared" si="124"/>
        <v>0</v>
      </c>
      <c r="L227" s="238">
        <f t="shared" si="120"/>
        <v>336</v>
      </c>
      <c r="M227" s="104">
        <f t="shared" ref="M227:M231" si="130">F227*L227</f>
        <v>0</v>
      </c>
      <c r="N227" s="238">
        <f t="shared" si="121"/>
        <v>352</v>
      </c>
      <c r="O227" s="104">
        <f t="shared" ref="O227:O231" si="131">F227*N227</f>
        <v>0</v>
      </c>
      <c r="P227" s="238">
        <f t="shared" si="122"/>
        <v>368</v>
      </c>
      <c r="Q227" s="104">
        <f t="shared" ref="Q227:Q231" si="132">F227*P227</f>
        <v>0</v>
      </c>
      <c r="R227" s="238">
        <f t="shared" si="123"/>
        <v>400</v>
      </c>
      <c r="S227" s="104">
        <f t="shared" si="129"/>
        <v>0</v>
      </c>
      <c r="T227" s="105">
        <v>65</v>
      </c>
      <c r="U227" s="105">
        <f t="shared" si="119"/>
        <v>0</v>
      </c>
      <c r="V227" s="106"/>
      <c r="W227" s="301">
        <v>610</v>
      </c>
      <c r="Y227" s="567">
        <v>12</v>
      </c>
      <c r="Z227" s="189">
        <v>3</v>
      </c>
      <c r="AA227" s="541" t="s">
        <v>1295</v>
      </c>
      <c r="AB227" s="537">
        <v>44727</v>
      </c>
      <c r="AC227" s="537">
        <v>47370</v>
      </c>
      <c r="AD227" s="718" t="s">
        <v>1296</v>
      </c>
      <c r="AE227" s="718" t="s">
        <v>67</v>
      </c>
      <c r="AF227" s="902" t="s">
        <v>1297</v>
      </c>
      <c r="AG227" s="902" t="s">
        <v>307</v>
      </c>
      <c r="AH227" s="824" t="s">
        <v>402</v>
      </c>
      <c r="AI227" s="688" t="s">
        <v>1298</v>
      </c>
      <c r="AJ227" s="826"/>
      <c r="AK227" s="568">
        <v>3304990000</v>
      </c>
      <c r="AM227" s="588" t="s">
        <v>1299</v>
      </c>
      <c r="AN227" s="273" t="s">
        <v>1300</v>
      </c>
      <c r="AO227" s="273" t="s">
        <v>1301</v>
      </c>
      <c r="AP227" s="616" t="s">
        <v>1302</v>
      </c>
      <c r="AQ227" s="637" t="s">
        <v>1303</v>
      </c>
      <c r="AR227" s="621"/>
      <c r="AS227" s="618"/>
      <c r="AU227" s="189"/>
      <c r="AV227" s="189"/>
      <c r="AW227" s="189"/>
      <c r="AX227" s="512">
        <f>133*43*43/1000000000</f>
        <v>2.4591700000000001E-4</v>
      </c>
      <c r="AY227" s="523" t="e">
        <f>AX227*#REF!</f>
        <v>#REF!</v>
      </c>
      <c r="AZ227" s="189"/>
      <c r="BA227" s="189"/>
      <c r="BB227" s="189"/>
      <c r="BC227" s="517"/>
      <c r="BD227" s="189" t="s">
        <v>264</v>
      </c>
      <c r="BF227" s="445"/>
      <c r="BG227" s="442" t="s">
        <v>353</v>
      </c>
      <c r="BH227" s="442" t="s">
        <v>354</v>
      </c>
    </row>
    <row r="228" spans="1:60" ht="30" customHeight="1">
      <c r="A228" s="116">
        <v>4627101826436</v>
      </c>
      <c r="B228" s="100">
        <v>2414</v>
      </c>
      <c r="C228" s="251" t="s">
        <v>1304</v>
      </c>
      <c r="D228" s="826"/>
      <c r="E228" s="110" t="s">
        <v>401</v>
      </c>
      <c r="F228" s="249"/>
      <c r="G228" s="190"/>
      <c r="H228" s="190"/>
      <c r="I228" s="238"/>
      <c r="J228" s="238">
        <v>320</v>
      </c>
      <c r="K228" s="104">
        <f t="shared" si="124"/>
        <v>0</v>
      </c>
      <c r="L228" s="238">
        <f t="shared" si="120"/>
        <v>336</v>
      </c>
      <c r="M228" s="104">
        <f t="shared" si="130"/>
        <v>0</v>
      </c>
      <c r="N228" s="238">
        <f t="shared" si="121"/>
        <v>352</v>
      </c>
      <c r="O228" s="104">
        <f t="shared" si="131"/>
        <v>0</v>
      </c>
      <c r="P228" s="238">
        <f t="shared" si="122"/>
        <v>368</v>
      </c>
      <c r="Q228" s="104">
        <f t="shared" si="132"/>
        <v>0</v>
      </c>
      <c r="R228" s="238">
        <f t="shared" si="123"/>
        <v>400</v>
      </c>
      <c r="S228" s="104">
        <f t="shared" si="129"/>
        <v>0</v>
      </c>
      <c r="T228" s="105">
        <v>65</v>
      </c>
      <c r="U228" s="105">
        <f t="shared" si="119"/>
        <v>0</v>
      </c>
      <c r="V228" s="106"/>
      <c r="W228" s="301">
        <v>610</v>
      </c>
      <c r="Y228" s="567">
        <v>12</v>
      </c>
      <c r="Z228" s="189">
        <v>3</v>
      </c>
      <c r="AA228" s="541" t="s">
        <v>1295</v>
      </c>
      <c r="AB228" s="537">
        <v>44727</v>
      </c>
      <c r="AC228" s="537">
        <v>47370</v>
      </c>
      <c r="AD228" s="718" t="s">
        <v>1296</v>
      </c>
      <c r="AE228" s="718" t="s">
        <v>67</v>
      </c>
      <c r="AF228" s="902" t="s">
        <v>1305</v>
      </c>
      <c r="AG228" s="902" t="s">
        <v>644</v>
      </c>
      <c r="AH228" s="824" t="s">
        <v>402</v>
      </c>
      <c r="AI228" s="688" t="s">
        <v>1298</v>
      </c>
      <c r="AJ228" s="826"/>
      <c r="AK228" s="568">
        <v>3304990000</v>
      </c>
      <c r="AM228" s="588" t="s">
        <v>1306</v>
      </c>
      <c r="AN228" s="273" t="s">
        <v>1307</v>
      </c>
      <c r="AO228" s="273" t="s">
        <v>1308</v>
      </c>
      <c r="AP228" s="616" t="s">
        <v>1309</v>
      </c>
      <c r="AQ228" s="637" t="s">
        <v>1310</v>
      </c>
      <c r="AR228" s="621"/>
      <c r="AS228" s="618"/>
      <c r="AU228" s="189"/>
      <c r="AV228" s="189"/>
      <c r="AW228" s="189"/>
      <c r="AX228" s="512">
        <f>133*43*43/1000000000</f>
        <v>2.4591700000000001E-4</v>
      </c>
      <c r="AY228" s="523" t="e">
        <f>AX228*#REF!</f>
        <v>#REF!</v>
      </c>
      <c r="AZ228" s="189"/>
      <c r="BA228" s="189"/>
      <c r="BB228" s="189"/>
      <c r="BC228" s="517"/>
      <c r="BD228" s="189" t="s">
        <v>264</v>
      </c>
      <c r="BF228" s="445"/>
      <c r="BG228" s="442" t="s">
        <v>353</v>
      </c>
      <c r="BH228" s="442" t="s">
        <v>354</v>
      </c>
    </row>
    <row r="229" spans="1:60" ht="30" customHeight="1">
      <c r="A229" s="116">
        <v>4627101826450</v>
      </c>
      <c r="B229" s="100">
        <v>2415</v>
      </c>
      <c r="C229" s="251" t="s">
        <v>1311</v>
      </c>
      <c r="D229" s="826"/>
      <c r="E229" s="110" t="s">
        <v>401</v>
      </c>
      <c r="F229" s="249"/>
      <c r="G229" s="190"/>
      <c r="H229" s="190"/>
      <c r="I229" s="238"/>
      <c r="J229" s="238">
        <v>320</v>
      </c>
      <c r="K229" s="104">
        <f t="shared" si="124"/>
        <v>0</v>
      </c>
      <c r="L229" s="238">
        <f t="shared" si="120"/>
        <v>336</v>
      </c>
      <c r="M229" s="104">
        <f t="shared" si="130"/>
        <v>0</v>
      </c>
      <c r="N229" s="238">
        <f t="shared" si="121"/>
        <v>352</v>
      </c>
      <c r="O229" s="104">
        <f t="shared" si="131"/>
        <v>0</v>
      </c>
      <c r="P229" s="238">
        <f t="shared" si="122"/>
        <v>368</v>
      </c>
      <c r="Q229" s="104">
        <f t="shared" si="132"/>
        <v>0</v>
      </c>
      <c r="R229" s="238">
        <f t="shared" si="123"/>
        <v>400</v>
      </c>
      <c r="S229" s="104">
        <f t="shared" si="129"/>
        <v>0</v>
      </c>
      <c r="T229" s="105">
        <v>65</v>
      </c>
      <c r="U229" s="105">
        <f t="shared" si="119"/>
        <v>0</v>
      </c>
      <c r="V229" s="106"/>
      <c r="W229" s="301">
        <v>610</v>
      </c>
      <c r="Y229" s="567">
        <v>12</v>
      </c>
      <c r="Z229" s="189">
        <v>3</v>
      </c>
      <c r="AA229" s="541" t="s">
        <v>1295</v>
      </c>
      <c r="AB229" s="537">
        <v>44727</v>
      </c>
      <c r="AC229" s="537">
        <v>47370</v>
      </c>
      <c r="AD229" s="718" t="s">
        <v>1296</v>
      </c>
      <c r="AE229" s="718" t="s">
        <v>67</v>
      </c>
      <c r="AF229" s="902" t="s">
        <v>1312</v>
      </c>
      <c r="AG229" s="902" t="s">
        <v>1313</v>
      </c>
      <c r="AH229" s="824" t="s">
        <v>402</v>
      </c>
      <c r="AI229" s="688" t="s">
        <v>1298</v>
      </c>
      <c r="AJ229" s="826"/>
      <c r="AK229" s="568">
        <v>3304990000</v>
      </c>
      <c r="AM229" s="588" t="s">
        <v>1314</v>
      </c>
      <c r="AN229" s="273" t="s">
        <v>1315</v>
      </c>
      <c r="AO229" s="273" t="s">
        <v>1301</v>
      </c>
      <c r="AP229" s="616" t="s">
        <v>1316</v>
      </c>
      <c r="AQ229" s="637" t="s">
        <v>1317</v>
      </c>
      <c r="AR229" s="621"/>
      <c r="AS229" s="618"/>
      <c r="AU229" s="189"/>
      <c r="AV229" s="189"/>
      <c r="AW229" s="189"/>
      <c r="AX229" s="512">
        <f>133*43*43/1000000000</f>
        <v>2.4591700000000001E-4</v>
      </c>
      <c r="AY229" s="523" t="e">
        <f>AX229*#REF!</f>
        <v>#REF!</v>
      </c>
      <c r="AZ229" s="189"/>
      <c r="BA229" s="189"/>
      <c r="BB229" s="189"/>
      <c r="BC229" s="517"/>
      <c r="BD229" s="189" t="s">
        <v>264</v>
      </c>
      <c r="BF229" s="445"/>
      <c r="BG229" s="442" t="s">
        <v>353</v>
      </c>
      <c r="BH229" s="442" t="s">
        <v>354</v>
      </c>
    </row>
    <row r="230" spans="1:60" ht="26.25" customHeight="1">
      <c r="A230" s="116">
        <v>4627101826467</v>
      </c>
      <c r="B230" s="100">
        <v>2416</v>
      </c>
      <c r="C230" s="251" t="s">
        <v>1318</v>
      </c>
      <c r="D230" s="826"/>
      <c r="E230" s="110" t="s">
        <v>401</v>
      </c>
      <c r="F230" s="249"/>
      <c r="G230" s="190"/>
      <c r="H230" s="190"/>
      <c r="I230" s="238"/>
      <c r="J230" s="238">
        <v>320</v>
      </c>
      <c r="K230" s="104">
        <f t="shared" si="124"/>
        <v>0</v>
      </c>
      <c r="L230" s="238">
        <f t="shared" si="120"/>
        <v>336</v>
      </c>
      <c r="M230" s="104">
        <f t="shared" si="130"/>
        <v>0</v>
      </c>
      <c r="N230" s="238">
        <f t="shared" si="121"/>
        <v>352</v>
      </c>
      <c r="O230" s="104">
        <f t="shared" si="131"/>
        <v>0</v>
      </c>
      <c r="P230" s="238">
        <f t="shared" si="122"/>
        <v>368</v>
      </c>
      <c r="Q230" s="104">
        <f t="shared" si="132"/>
        <v>0</v>
      </c>
      <c r="R230" s="238">
        <f t="shared" si="123"/>
        <v>400</v>
      </c>
      <c r="S230" s="104">
        <f t="shared" si="129"/>
        <v>0</v>
      </c>
      <c r="T230" s="105">
        <v>65</v>
      </c>
      <c r="U230" s="105">
        <f t="shared" si="119"/>
        <v>0</v>
      </c>
      <c r="V230" s="106"/>
      <c r="W230" s="301">
        <v>610</v>
      </c>
      <c r="Y230" s="567">
        <v>12</v>
      </c>
      <c r="Z230" s="189">
        <v>3</v>
      </c>
      <c r="AA230" s="541" t="s">
        <v>1295</v>
      </c>
      <c r="AB230" s="537">
        <v>44727</v>
      </c>
      <c r="AC230" s="537">
        <v>47370</v>
      </c>
      <c r="AD230" s="718" t="s">
        <v>1296</v>
      </c>
      <c r="AE230" s="718" t="s">
        <v>67</v>
      </c>
      <c r="AF230" s="902" t="s">
        <v>1319</v>
      </c>
      <c r="AG230" s="902" t="s">
        <v>1320</v>
      </c>
      <c r="AH230" s="824" t="s">
        <v>402</v>
      </c>
      <c r="AI230" s="688" t="s">
        <v>1298</v>
      </c>
      <c r="AJ230" s="826"/>
      <c r="AK230" s="568">
        <v>3304990000</v>
      </c>
      <c r="AM230" s="588" t="s">
        <v>1321</v>
      </c>
      <c r="AN230" s="273" t="s">
        <v>1322</v>
      </c>
      <c r="AO230" s="273" t="s">
        <v>1323</v>
      </c>
      <c r="AP230" s="616" t="s">
        <v>1324</v>
      </c>
      <c r="AQ230" s="649" t="s">
        <v>1325</v>
      </c>
      <c r="AR230" s="621"/>
      <c r="AS230" s="618"/>
      <c r="AU230" s="189"/>
      <c r="AV230" s="189"/>
      <c r="AW230" s="189"/>
      <c r="AX230" s="512">
        <f>133*43*43/1000000000</f>
        <v>2.4591700000000001E-4</v>
      </c>
      <c r="AY230" s="523" t="e">
        <f>AX230*#REF!</f>
        <v>#REF!</v>
      </c>
      <c r="AZ230" s="189"/>
      <c r="BA230" s="189"/>
      <c r="BB230" s="189"/>
      <c r="BC230" s="517"/>
      <c r="BD230" s="189" t="s">
        <v>264</v>
      </c>
      <c r="BF230" s="445"/>
      <c r="BG230" s="442" t="s">
        <v>353</v>
      </c>
      <c r="BH230" s="442" t="s">
        <v>354</v>
      </c>
    </row>
    <row r="231" spans="1:60" ht="18.75" customHeight="1">
      <c r="A231" s="116">
        <v>4627186341350</v>
      </c>
      <c r="B231" s="100">
        <v>3736</v>
      </c>
      <c r="C231" s="251" t="s">
        <v>1326</v>
      </c>
      <c r="D231" s="826"/>
      <c r="E231" s="110" t="s">
        <v>822</v>
      </c>
      <c r="F231" s="249"/>
      <c r="G231" s="190"/>
      <c r="H231" s="190"/>
      <c r="I231" s="238"/>
      <c r="J231" s="238">
        <v>420</v>
      </c>
      <c r="K231" s="104">
        <f t="shared" si="124"/>
        <v>0</v>
      </c>
      <c r="L231" s="238">
        <f t="shared" si="120"/>
        <v>441</v>
      </c>
      <c r="M231" s="104">
        <f t="shared" si="130"/>
        <v>0</v>
      </c>
      <c r="N231" s="238">
        <f t="shared" si="121"/>
        <v>462</v>
      </c>
      <c r="O231" s="104">
        <f t="shared" si="131"/>
        <v>0</v>
      </c>
      <c r="P231" s="238">
        <f t="shared" si="122"/>
        <v>483</v>
      </c>
      <c r="Q231" s="104">
        <f t="shared" si="132"/>
        <v>0</v>
      </c>
      <c r="R231" s="238">
        <f t="shared" si="123"/>
        <v>525</v>
      </c>
      <c r="S231" s="104">
        <f t="shared" si="129"/>
        <v>0</v>
      </c>
      <c r="T231" s="105"/>
      <c r="U231" s="105">
        <f t="shared" si="119"/>
        <v>0</v>
      </c>
      <c r="V231" s="106"/>
      <c r="W231" s="301">
        <v>795</v>
      </c>
      <c r="Y231" s="567">
        <v>12</v>
      </c>
      <c r="Z231" s="189">
        <v>3</v>
      </c>
      <c r="AA231" s="541" t="s">
        <v>1295</v>
      </c>
      <c r="AB231" s="537">
        <v>44727</v>
      </c>
      <c r="AC231" s="537">
        <v>47370</v>
      </c>
      <c r="AD231" s="718"/>
      <c r="AE231" s="718" t="s">
        <v>67</v>
      </c>
      <c r="AF231" s="902"/>
      <c r="AG231" s="902"/>
      <c r="AH231" s="824"/>
      <c r="AI231" s="706"/>
      <c r="AJ231" s="826"/>
      <c r="AK231" s="568">
        <v>3307100000</v>
      </c>
      <c r="AM231" s="588" t="s">
        <v>1327</v>
      </c>
      <c r="AN231" s="273" t="s">
        <v>1328</v>
      </c>
      <c r="AO231" s="273" t="s">
        <v>1329</v>
      </c>
      <c r="AP231" s="616" t="s">
        <v>1330</v>
      </c>
      <c r="AQ231" s="649" t="s">
        <v>1331</v>
      </c>
      <c r="AR231" s="650"/>
      <c r="AS231" s="618"/>
      <c r="AU231" s="189"/>
      <c r="AV231" s="189"/>
      <c r="AW231" s="189"/>
      <c r="AX231" s="512"/>
      <c r="AY231" s="523"/>
      <c r="AZ231" s="189"/>
      <c r="BA231" s="189"/>
      <c r="BB231" s="189"/>
      <c r="BC231" s="517"/>
      <c r="BD231" s="189"/>
      <c r="BF231" s="445"/>
      <c r="BG231" s="442"/>
      <c r="BH231" s="442"/>
    </row>
    <row r="232" spans="1:60" ht="18.75" customHeight="1">
      <c r="A232" s="116">
        <v>4627186341541</v>
      </c>
      <c r="B232" s="100">
        <v>4200</v>
      </c>
      <c r="C232" s="251" t="s">
        <v>1332</v>
      </c>
      <c r="D232" s="826"/>
      <c r="E232" s="110"/>
      <c r="F232" s="249"/>
      <c r="G232" s="190"/>
      <c r="H232" s="190"/>
      <c r="I232" s="238"/>
      <c r="J232" s="238">
        <v>335</v>
      </c>
      <c r="K232" s="104">
        <f>J232*F232</f>
        <v>0</v>
      </c>
      <c r="L232" s="238">
        <f t="shared" si="120"/>
        <v>351.75</v>
      </c>
      <c r="M232" s="104">
        <f>L232*F232</f>
        <v>0</v>
      </c>
      <c r="N232" s="238">
        <f t="shared" si="121"/>
        <v>368.5</v>
      </c>
      <c r="O232" s="104">
        <f>N232*F232</f>
        <v>0</v>
      </c>
      <c r="P232" s="238">
        <f t="shared" si="122"/>
        <v>385.25</v>
      </c>
      <c r="Q232" s="104">
        <f>P232*F232</f>
        <v>0</v>
      </c>
      <c r="R232" s="238">
        <f t="shared" si="123"/>
        <v>418.75</v>
      </c>
      <c r="S232" s="104">
        <f>R232*F232</f>
        <v>0</v>
      </c>
      <c r="T232" s="105">
        <v>220</v>
      </c>
      <c r="U232" s="105">
        <f t="shared" si="119"/>
        <v>0</v>
      </c>
      <c r="V232" s="106"/>
      <c r="W232" s="301">
        <v>640</v>
      </c>
      <c r="Y232" s="567">
        <v>18</v>
      </c>
      <c r="Z232" s="189">
        <v>6</v>
      </c>
      <c r="AA232" s="782" t="s">
        <v>1333</v>
      </c>
      <c r="AB232" s="783">
        <v>44923</v>
      </c>
      <c r="AC232" s="783">
        <v>47478</v>
      </c>
      <c r="AD232" s="718" t="s">
        <v>1334</v>
      </c>
      <c r="AE232" s="718" t="s">
        <v>67</v>
      </c>
      <c r="AF232" s="902" t="s">
        <v>1335</v>
      </c>
      <c r="AG232" s="902" t="s">
        <v>1336</v>
      </c>
      <c r="AH232" s="824" t="s">
        <v>1337</v>
      </c>
      <c r="AI232" s="706"/>
      <c r="AJ232" s="826"/>
      <c r="AK232" s="568"/>
      <c r="AM232" s="610" t="s">
        <v>1338</v>
      </c>
      <c r="AN232" s="611" t="s">
        <v>1339</v>
      </c>
      <c r="AO232" s="611" t="s">
        <v>1340</v>
      </c>
      <c r="AP232" s="651" t="s">
        <v>1341</v>
      </c>
      <c r="AQ232" s="652"/>
      <c r="AR232" s="650"/>
      <c r="AS232" s="618"/>
      <c r="AU232" s="189"/>
      <c r="AV232" s="189"/>
      <c r="AW232" s="189"/>
      <c r="AX232" s="512"/>
      <c r="AY232" s="523"/>
      <c r="AZ232" s="189"/>
      <c r="BA232" s="189"/>
      <c r="BB232" s="189"/>
      <c r="BC232" s="517"/>
      <c r="BD232" s="189"/>
      <c r="BF232" s="445"/>
      <c r="BG232" s="442"/>
      <c r="BH232" s="442"/>
    </row>
    <row r="233" spans="1:60" ht="24.75" customHeight="1">
      <c r="A233" s="485" t="s">
        <v>156</v>
      </c>
      <c r="B233" s="274"/>
      <c r="C233" s="271" t="s">
        <v>1342</v>
      </c>
      <c r="D233" s="827"/>
      <c r="E233" s="270"/>
      <c r="F233" s="493"/>
      <c r="G233" s="356"/>
      <c r="H233" s="356"/>
      <c r="I233" s="365"/>
      <c r="J233" s="366"/>
      <c r="K233" s="488">
        <f>K234+K235+K236+K237+K238+K239</f>
        <v>0</v>
      </c>
      <c r="L233" s="489"/>
      <c r="M233" s="488">
        <f>M234+M235+M236+M237+M238+M239</f>
        <v>0</v>
      </c>
      <c r="N233" s="489"/>
      <c r="O233" s="488">
        <f>O234+O235+O236+O237+O238+O239</f>
        <v>0</v>
      </c>
      <c r="P233" s="489"/>
      <c r="Q233" s="488">
        <f>Q234+Q235+Q236+Q237+Q238+Q239</f>
        <v>0</v>
      </c>
      <c r="R233" s="489"/>
      <c r="S233" s="488">
        <f>S234+S235+S236+S237+S238+S239</f>
        <v>0</v>
      </c>
      <c r="T233" s="346"/>
      <c r="U233" s="346">
        <f>U234+U235+U236+U237+U238+U239</f>
        <v>0</v>
      </c>
      <c r="V233" s="293"/>
      <c r="W233" s="293"/>
      <c r="Y233" s="562"/>
      <c r="Z233" s="293"/>
      <c r="AA233" s="772"/>
      <c r="AB233" s="543"/>
      <c r="AC233" s="543"/>
      <c r="AD233" s="716"/>
      <c r="AE233" s="716"/>
      <c r="AF233" s="701"/>
      <c r="AG233" s="701"/>
      <c r="AH233" s="546"/>
      <c r="AI233" s="675"/>
      <c r="AJ233" s="293"/>
      <c r="AK233" s="563"/>
      <c r="AL233" s="554"/>
      <c r="AM233" s="562"/>
      <c r="AN233" s="293"/>
      <c r="AO233" s="293"/>
      <c r="AP233" s="293"/>
      <c r="AQ233" s="293"/>
      <c r="AR233" s="293"/>
      <c r="AS233" s="563"/>
      <c r="AU233" s="293"/>
      <c r="AV233" s="293"/>
      <c r="AW233" s="293"/>
      <c r="AX233" s="293"/>
      <c r="AY233" s="293"/>
      <c r="AZ233" s="293"/>
      <c r="BA233" s="293"/>
      <c r="BB233" s="293"/>
      <c r="BC233" s="293"/>
      <c r="BD233" s="293"/>
      <c r="BF233" s="445"/>
    </row>
    <row r="234" spans="1:60" ht="20.25" customHeight="1">
      <c r="A234" s="116">
        <v>4627101824005</v>
      </c>
      <c r="B234" s="108">
        <v>1161</v>
      </c>
      <c r="C234" s="251" t="s">
        <v>1343</v>
      </c>
      <c r="D234" s="826"/>
      <c r="E234" s="110" t="s">
        <v>287</v>
      </c>
      <c r="F234" s="249"/>
      <c r="G234" s="239"/>
      <c r="H234" s="239"/>
      <c r="I234" s="238"/>
      <c r="J234" s="367">
        <v>130</v>
      </c>
      <c r="K234" s="104">
        <f t="shared" ref="K234:K239" si="133">F234*J234</f>
        <v>0</v>
      </c>
      <c r="L234" s="238">
        <f>J234+J234*5%</f>
        <v>136.5</v>
      </c>
      <c r="M234" s="104">
        <f t="shared" ref="M234:M239" si="134">L234*F234</f>
        <v>0</v>
      </c>
      <c r="N234" s="238">
        <f>J234+J234*10%</f>
        <v>143</v>
      </c>
      <c r="O234" s="104">
        <f t="shared" ref="O234:O239" si="135">N234*F234</f>
        <v>0</v>
      </c>
      <c r="P234" s="238">
        <f>J234+J234*15%</f>
        <v>149.5</v>
      </c>
      <c r="Q234" s="104">
        <f t="shared" ref="Q234:Q239" si="136">P234*F234</f>
        <v>0</v>
      </c>
      <c r="R234" s="238">
        <f>J234+J234*25%</f>
        <v>162.5</v>
      </c>
      <c r="S234" s="104">
        <f>-R234*F234</f>
        <v>0</v>
      </c>
      <c r="T234" s="105">
        <v>105</v>
      </c>
      <c r="U234" s="105">
        <f t="shared" ref="U234:U239" si="137">T234*F234</f>
        <v>0</v>
      </c>
      <c r="V234" s="106"/>
      <c r="W234" s="301">
        <v>245</v>
      </c>
      <c r="Y234" s="567">
        <v>12</v>
      </c>
      <c r="Z234" s="189">
        <v>3</v>
      </c>
      <c r="AA234" s="541" t="s">
        <v>1344</v>
      </c>
      <c r="AB234" s="537">
        <v>43894</v>
      </c>
      <c r="AC234" s="537">
        <v>45719</v>
      </c>
      <c r="AD234" s="768" t="s">
        <v>1345</v>
      </c>
      <c r="AE234" s="718" t="s">
        <v>67</v>
      </c>
      <c r="AF234" s="700"/>
      <c r="AG234" s="700"/>
      <c r="AH234" s="547" t="s">
        <v>1346</v>
      </c>
      <c r="AI234" s="478"/>
      <c r="AJ234" s="189"/>
      <c r="AK234" s="568">
        <v>3401300000</v>
      </c>
      <c r="AM234" s="653" t="s">
        <v>1347</v>
      </c>
      <c r="AN234" s="654" t="s">
        <v>1348</v>
      </c>
      <c r="AO234" s="654" t="s">
        <v>1349</v>
      </c>
      <c r="AP234" s="616" t="s">
        <v>1350</v>
      </c>
      <c r="AQ234" s="637" t="s">
        <v>1351</v>
      </c>
      <c r="AR234" s="621"/>
      <c r="AS234" s="618"/>
      <c r="AU234" s="189"/>
      <c r="AV234" s="189"/>
      <c r="AW234" s="189"/>
      <c r="AX234" s="512">
        <f t="shared" ref="AX234:AX239" si="138">112*46*46/1000000000</f>
        <v>2.36992E-4</v>
      </c>
      <c r="AY234" s="523" t="e">
        <f>AX234*#REF!</f>
        <v>#REF!</v>
      </c>
      <c r="AZ234" s="189"/>
      <c r="BA234" s="189"/>
      <c r="BB234" s="189"/>
      <c r="BC234" s="517"/>
      <c r="BD234" s="189"/>
      <c r="BF234" s="445"/>
      <c r="BG234" s="442" t="s">
        <v>1352</v>
      </c>
      <c r="BH234" s="442" t="s">
        <v>354</v>
      </c>
    </row>
    <row r="235" spans="1:60" ht="20.25" customHeight="1">
      <c r="A235" s="116">
        <v>4627101824012</v>
      </c>
      <c r="B235" s="108">
        <v>1297</v>
      </c>
      <c r="C235" s="251" t="s">
        <v>1353</v>
      </c>
      <c r="D235" s="826"/>
      <c r="E235" s="110" t="s">
        <v>287</v>
      </c>
      <c r="F235" s="249"/>
      <c r="G235" s="239"/>
      <c r="H235" s="239"/>
      <c r="I235" s="238"/>
      <c r="J235" s="367">
        <v>130</v>
      </c>
      <c r="K235" s="104">
        <f t="shared" si="133"/>
        <v>0</v>
      </c>
      <c r="L235" s="238">
        <f t="shared" ref="L235:L239" si="139">J235+J235*5%</f>
        <v>136.5</v>
      </c>
      <c r="M235" s="104">
        <f t="shared" si="134"/>
        <v>0</v>
      </c>
      <c r="N235" s="238">
        <f t="shared" ref="N235:N239" si="140">J235+J235*10%</f>
        <v>143</v>
      </c>
      <c r="O235" s="104">
        <f t="shared" si="135"/>
        <v>0</v>
      </c>
      <c r="P235" s="238">
        <f t="shared" ref="P235:P239" si="141">J235+J235*15%</f>
        <v>149.5</v>
      </c>
      <c r="Q235" s="104">
        <f t="shared" si="136"/>
        <v>0</v>
      </c>
      <c r="R235" s="238">
        <f t="shared" ref="R235:R239" si="142">J235+J235*25%</f>
        <v>162.5</v>
      </c>
      <c r="S235" s="104">
        <f t="shared" ref="S235:S239" si="143">R235*F235</f>
        <v>0</v>
      </c>
      <c r="T235" s="105">
        <v>105</v>
      </c>
      <c r="U235" s="105">
        <f t="shared" si="137"/>
        <v>0</v>
      </c>
      <c r="V235" s="106"/>
      <c r="W235" s="301">
        <v>245</v>
      </c>
      <c r="Y235" s="567">
        <v>12</v>
      </c>
      <c r="Z235" s="189">
        <v>3</v>
      </c>
      <c r="AA235" s="541" t="s">
        <v>1344</v>
      </c>
      <c r="AB235" s="537">
        <v>43894</v>
      </c>
      <c r="AC235" s="537">
        <v>45719</v>
      </c>
      <c r="AD235" s="768" t="s">
        <v>1345</v>
      </c>
      <c r="AE235" s="718" t="s">
        <v>67</v>
      </c>
      <c r="AF235" s="700"/>
      <c r="AG235" s="700"/>
      <c r="AH235" s="547" t="s">
        <v>1346</v>
      </c>
      <c r="AI235" s="478"/>
      <c r="AJ235" s="189"/>
      <c r="AK235" s="568">
        <v>3401300000</v>
      </c>
      <c r="AM235" s="653" t="s">
        <v>1354</v>
      </c>
      <c r="AN235" s="654" t="s">
        <v>1355</v>
      </c>
      <c r="AO235" s="654" t="s">
        <v>1356</v>
      </c>
      <c r="AP235" s="616" t="s">
        <v>1357</v>
      </c>
      <c r="AQ235" s="637" t="s">
        <v>1358</v>
      </c>
      <c r="AR235" s="621"/>
      <c r="AS235" s="618"/>
      <c r="AU235" s="189"/>
      <c r="AV235" s="189"/>
      <c r="AW235" s="189"/>
      <c r="AX235" s="512">
        <f t="shared" si="138"/>
        <v>2.36992E-4</v>
      </c>
      <c r="AY235" s="523" t="e">
        <f>AX235*#REF!</f>
        <v>#REF!</v>
      </c>
      <c r="AZ235" s="189"/>
      <c r="BA235" s="189"/>
      <c r="BB235" s="189"/>
      <c r="BC235" s="517"/>
      <c r="BD235" s="189"/>
      <c r="BF235" s="445"/>
      <c r="BG235" s="442" t="s">
        <v>1352</v>
      </c>
      <c r="BH235" s="442" t="s">
        <v>354</v>
      </c>
    </row>
    <row r="236" spans="1:60" ht="20.25" customHeight="1">
      <c r="A236" s="116">
        <v>4627101824029</v>
      </c>
      <c r="B236" s="108">
        <v>1299</v>
      </c>
      <c r="C236" s="251" t="s">
        <v>1359</v>
      </c>
      <c r="D236" s="826"/>
      <c r="E236" s="110" t="s">
        <v>287</v>
      </c>
      <c r="F236" s="249"/>
      <c r="G236" s="239"/>
      <c r="H236" s="239"/>
      <c r="I236" s="238"/>
      <c r="J236" s="367">
        <v>130</v>
      </c>
      <c r="K236" s="104">
        <f t="shared" si="133"/>
        <v>0</v>
      </c>
      <c r="L236" s="238">
        <f t="shared" si="139"/>
        <v>136.5</v>
      </c>
      <c r="M236" s="104">
        <f t="shared" si="134"/>
        <v>0</v>
      </c>
      <c r="N236" s="238">
        <f t="shared" si="140"/>
        <v>143</v>
      </c>
      <c r="O236" s="104">
        <f t="shared" si="135"/>
        <v>0</v>
      </c>
      <c r="P236" s="238">
        <f t="shared" si="141"/>
        <v>149.5</v>
      </c>
      <c r="Q236" s="104">
        <f t="shared" si="136"/>
        <v>0</v>
      </c>
      <c r="R236" s="238">
        <f t="shared" si="142"/>
        <v>162.5</v>
      </c>
      <c r="S236" s="104">
        <f t="shared" si="143"/>
        <v>0</v>
      </c>
      <c r="T236" s="105">
        <v>105</v>
      </c>
      <c r="U236" s="105">
        <f t="shared" si="137"/>
        <v>0</v>
      </c>
      <c r="V236" s="106"/>
      <c r="W236" s="301">
        <v>245</v>
      </c>
      <c r="Y236" s="567">
        <v>12</v>
      </c>
      <c r="Z236" s="189">
        <v>3</v>
      </c>
      <c r="AA236" s="541" t="s">
        <v>1344</v>
      </c>
      <c r="AB236" s="537">
        <v>43894</v>
      </c>
      <c r="AC236" s="537">
        <v>45719</v>
      </c>
      <c r="AD236" s="768" t="s">
        <v>1345</v>
      </c>
      <c r="AE236" s="718" t="s">
        <v>67</v>
      </c>
      <c r="AF236" s="700"/>
      <c r="AG236" s="700"/>
      <c r="AH236" s="547" t="s">
        <v>1346</v>
      </c>
      <c r="AI236" s="478"/>
      <c r="AJ236" s="189"/>
      <c r="AK236" s="568">
        <v>3401300000</v>
      </c>
      <c r="AM236" s="653" t="s">
        <v>1360</v>
      </c>
      <c r="AN236" s="654" t="s">
        <v>1361</v>
      </c>
      <c r="AO236" s="654" t="s">
        <v>1356</v>
      </c>
      <c r="AP236" s="616" t="s">
        <v>1362</v>
      </c>
      <c r="AQ236" s="637" t="s">
        <v>1363</v>
      </c>
      <c r="AR236" s="621"/>
      <c r="AS236" s="618"/>
      <c r="AU236" s="189"/>
      <c r="AV236" s="189"/>
      <c r="AW236" s="189"/>
      <c r="AX236" s="512">
        <f t="shared" si="138"/>
        <v>2.36992E-4</v>
      </c>
      <c r="AY236" s="523" t="e">
        <f>AX236*#REF!</f>
        <v>#REF!</v>
      </c>
      <c r="AZ236" s="189"/>
      <c r="BA236" s="189"/>
      <c r="BB236" s="189"/>
      <c r="BC236" s="517"/>
      <c r="BD236" s="189"/>
      <c r="BF236" s="445"/>
      <c r="BG236" s="442" t="s">
        <v>1352</v>
      </c>
      <c r="BH236" s="442" t="s">
        <v>354</v>
      </c>
    </row>
    <row r="237" spans="1:60" ht="20.25" customHeight="1">
      <c r="A237" s="368">
        <v>4627101823978</v>
      </c>
      <c r="B237" s="108">
        <v>1304</v>
      </c>
      <c r="C237" s="369" t="s">
        <v>1364</v>
      </c>
      <c r="D237" s="833"/>
      <c r="E237" s="110" t="s">
        <v>287</v>
      </c>
      <c r="F237" s="249"/>
      <c r="G237" s="239"/>
      <c r="H237" s="239"/>
      <c r="I237" s="238"/>
      <c r="J237" s="367">
        <v>165</v>
      </c>
      <c r="K237" s="104">
        <f t="shared" si="133"/>
        <v>0</v>
      </c>
      <c r="L237" s="238">
        <f t="shared" si="139"/>
        <v>173.25</v>
      </c>
      <c r="M237" s="104">
        <f t="shared" si="134"/>
        <v>0</v>
      </c>
      <c r="N237" s="238">
        <f t="shared" si="140"/>
        <v>181.5</v>
      </c>
      <c r="O237" s="104">
        <f t="shared" si="135"/>
        <v>0</v>
      </c>
      <c r="P237" s="238">
        <f t="shared" si="141"/>
        <v>189.75</v>
      </c>
      <c r="Q237" s="104">
        <f t="shared" si="136"/>
        <v>0</v>
      </c>
      <c r="R237" s="238">
        <f t="shared" si="142"/>
        <v>206.25</v>
      </c>
      <c r="S237" s="104">
        <f t="shared" si="143"/>
        <v>0</v>
      </c>
      <c r="T237" s="105">
        <v>105</v>
      </c>
      <c r="U237" s="105">
        <f t="shared" si="137"/>
        <v>0</v>
      </c>
      <c r="V237" s="106"/>
      <c r="W237" s="301">
        <v>310</v>
      </c>
      <c r="Y237" s="567">
        <v>12</v>
      </c>
      <c r="Z237" s="189">
        <v>3</v>
      </c>
      <c r="AA237" s="541" t="s">
        <v>102</v>
      </c>
      <c r="AB237" s="537">
        <v>43889</v>
      </c>
      <c r="AC237" s="537">
        <v>45715</v>
      </c>
      <c r="AD237" s="768" t="s">
        <v>103</v>
      </c>
      <c r="AE237" s="718" t="s">
        <v>67</v>
      </c>
      <c r="AF237" s="700"/>
      <c r="AG237" s="700"/>
      <c r="AH237" s="547" t="s">
        <v>1346</v>
      </c>
      <c r="AI237" s="478"/>
      <c r="AJ237" s="189"/>
      <c r="AK237" s="568">
        <v>3304990000</v>
      </c>
      <c r="AM237" s="653" t="s">
        <v>1365</v>
      </c>
      <c r="AN237" s="654" t="s">
        <v>1366</v>
      </c>
      <c r="AO237" s="654" t="s">
        <v>1367</v>
      </c>
      <c r="AP237" s="655" t="s">
        <v>1368</v>
      </c>
      <c r="AQ237" s="637" t="s">
        <v>1369</v>
      </c>
      <c r="AR237" s="656"/>
      <c r="AS237" s="657"/>
      <c r="AU237" s="189"/>
      <c r="AV237" s="189"/>
      <c r="AW237" s="189"/>
      <c r="AX237" s="512">
        <f t="shared" si="138"/>
        <v>2.36992E-4</v>
      </c>
      <c r="AY237" s="523" t="e">
        <f>AX237*#REF!</f>
        <v>#REF!</v>
      </c>
      <c r="AZ237" s="189"/>
      <c r="BA237" s="189"/>
      <c r="BB237" s="189"/>
      <c r="BC237" s="517"/>
      <c r="BD237" s="189"/>
      <c r="BF237" s="445"/>
      <c r="BG237" s="442" t="s">
        <v>1352</v>
      </c>
      <c r="BH237" s="442" t="s">
        <v>354</v>
      </c>
    </row>
    <row r="238" spans="1:60" ht="20.25" customHeight="1">
      <c r="A238" s="368">
        <v>4627101823992</v>
      </c>
      <c r="B238" s="108">
        <v>2219</v>
      </c>
      <c r="C238" s="369" t="s">
        <v>1370</v>
      </c>
      <c r="D238" s="833"/>
      <c r="E238" s="110" t="s">
        <v>287</v>
      </c>
      <c r="F238" s="249"/>
      <c r="G238" s="239"/>
      <c r="H238" s="239"/>
      <c r="I238" s="238"/>
      <c r="J238" s="367">
        <v>165</v>
      </c>
      <c r="K238" s="104">
        <f t="shared" si="133"/>
        <v>0</v>
      </c>
      <c r="L238" s="238">
        <f t="shared" si="139"/>
        <v>173.25</v>
      </c>
      <c r="M238" s="104">
        <f t="shared" si="134"/>
        <v>0</v>
      </c>
      <c r="N238" s="238">
        <f t="shared" si="140"/>
        <v>181.5</v>
      </c>
      <c r="O238" s="104">
        <f t="shared" si="135"/>
        <v>0</v>
      </c>
      <c r="P238" s="238">
        <f t="shared" si="141"/>
        <v>189.75</v>
      </c>
      <c r="Q238" s="104">
        <f t="shared" si="136"/>
        <v>0</v>
      </c>
      <c r="R238" s="238">
        <f t="shared" si="142"/>
        <v>206.25</v>
      </c>
      <c r="S238" s="104">
        <f t="shared" si="143"/>
        <v>0</v>
      </c>
      <c r="T238" s="105">
        <v>105</v>
      </c>
      <c r="U238" s="105">
        <f t="shared" si="137"/>
        <v>0</v>
      </c>
      <c r="V238" s="106"/>
      <c r="W238" s="301">
        <v>310</v>
      </c>
      <c r="Y238" s="567">
        <v>12</v>
      </c>
      <c r="Z238" s="189">
        <v>3</v>
      </c>
      <c r="AA238" s="541" t="s">
        <v>102</v>
      </c>
      <c r="AB238" s="537">
        <v>43889</v>
      </c>
      <c r="AC238" s="537">
        <v>45715</v>
      </c>
      <c r="AD238" s="768" t="s">
        <v>1371</v>
      </c>
      <c r="AE238" s="718" t="s">
        <v>67</v>
      </c>
      <c r="AF238" s="700"/>
      <c r="AG238" s="700"/>
      <c r="AH238" s="547" t="s">
        <v>1346</v>
      </c>
      <c r="AI238" s="478"/>
      <c r="AJ238" s="189"/>
      <c r="AK238" s="568">
        <v>3304990000</v>
      </c>
      <c r="AM238" s="653" t="s">
        <v>1372</v>
      </c>
      <c r="AN238" s="654" t="s">
        <v>1373</v>
      </c>
      <c r="AO238" s="654" t="s">
        <v>1367</v>
      </c>
      <c r="AP238" s="655" t="s">
        <v>1374</v>
      </c>
      <c r="AQ238" s="637" t="s">
        <v>1375</v>
      </c>
      <c r="AR238" s="656"/>
      <c r="AS238" s="657"/>
      <c r="AU238" s="189"/>
      <c r="AV238" s="189"/>
      <c r="AW238" s="189"/>
      <c r="AX238" s="512">
        <f t="shared" si="138"/>
        <v>2.36992E-4</v>
      </c>
      <c r="AY238" s="523" t="e">
        <f>AX238*#REF!</f>
        <v>#REF!</v>
      </c>
      <c r="AZ238" s="189"/>
      <c r="BA238" s="189"/>
      <c r="BB238" s="189"/>
      <c r="BC238" s="517"/>
      <c r="BD238" s="189"/>
      <c r="BF238" s="445"/>
      <c r="BG238" s="442" t="s">
        <v>1352</v>
      </c>
      <c r="BH238" s="442" t="s">
        <v>354</v>
      </c>
    </row>
    <row r="239" spans="1:60" ht="18" customHeight="1">
      <c r="A239" s="368">
        <v>4627101823985</v>
      </c>
      <c r="B239" s="108">
        <v>1455</v>
      </c>
      <c r="C239" s="369" t="s">
        <v>1376</v>
      </c>
      <c r="D239" s="833"/>
      <c r="E239" s="110" t="s">
        <v>287</v>
      </c>
      <c r="F239" s="249"/>
      <c r="G239" s="239"/>
      <c r="H239" s="239"/>
      <c r="I239" s="238"/>
      <c r="J239" s="367">
        <v>165</v>
      </c>
      <c r="K239" s="104">
        <f t="shared" si="133"/>
        <v>0</v>
      </c>
      <c r="L239" s="238">
        <f t="shared" si="139"/>
        <v>173.25</v>
      </c>
      <c r="M239" s="104">
        <f t="shared" si="134"/>
        <v>0</v>
      </c>
      <c r="N239" s="238">
        <f t="shared" si="140"/>
        <v>181.5</v>
      </c>
      <c r="O239" s="104">
        <f t="shared" si="135"/>
        <v>0</v>
      </c>
      <c r="P239" s="238">
        <f t="shared" si="141"/>
        <v>189.75</v>
      </c>
      <c r="Q239" s="104">
        <f t="shared" si="136"/>
        <v>0</v>
      </c>
      <c r="R239" s="238">
        <f t="shared" si="142"/>
        <v>206.25</v>
      </c>
      <c r="S239" s="104">
        <f t="shared" si="143"/>
        <v>0</v>
      </c>
      <c r="T239" s="105">
        <v>105</v>
      </c>
      <c r="U239" s="105">
        <f t="shared" si="137"/>
        <v>0</v>
      </c>
      <c r="V239" s="106"/>
      <c r="W239" s="301">
        <v>310</v>
      </c>
      <c r="Y239" s="567">
        <v>12</v>
      </c>
      <c r="Z239" s="189">
        <v>3</v>
      </c>
      <c r="AA239" s="541" t="s">
        <v>102</v>
      </c>
      <c r="AB239" s="537">
        <v>43889</v>
      </c>
      <c r="AC239" s="537">
        <v>45715</v>
      </c>
      <c r="AD239" s="768" t="s">
        <v>1377</v>
      </c>
      <c r="AE239" s="718" t="s">
        <v>67</v>
      </c>
      <c r="AF239" s="700"/>
      <c r="AG239" s="700"/>
      <c r="AH239" s="547" t="s">
        <v>1346</v>
      </c>
      <c r="AI239" s="478"/>
      <c r="AJ239" s="189"/>
      <c r="AK239" s="568">
        <v>3304990000</v>
      </c>
      <c r="AM239" s="653" t="s">
        <v>1378</v>
      </c>
      <c r="AN239" s="654" t="s">
        <v>1379</v>
      </c>
      <c r="AO239" s="654" t="s">
        <v>1367</v>
      </c>
      <c r="AP239" s="655" t="s">
        <v>1380</v>
      </c>
      <c r="AQ239" s="637" t="s">
        <v>1381</v>
      </c>
      <c r="AR239" s="656"/>
      <c r="AS239" s="657"/>
      <c r="AU239" s="189"/>
      <c r="AV239" s="189"/>
      <c r="AW239" s="189"/>
      <c r="AX239" s="512">
        <f t="shared" si="138"/>
        <v>2.36992E-4</v>
      </c>
      <c r="AY239" s="523" t="e">
        <f>AX239*#REF!</f>
        <v>#REF!</v>
      </c>
      <c r="AZ239" s="189"/>
      <c r="BA239" s="189"/>
      <c r="BB239" s="189"/>
      <c r="BC239" s="517"/>
      <c r="BD239" s="189"/>
      <c r="BF239" s="445"/>
      <c r="BG239" s="442" t="s">
        <v>1352</v>
      </c>
      <c r="BH239" s="442" t="s">
        <v>354</v>
      </c>
    </row>
    <row r="240" spans="1:60" ht="24" customHeight="1">
      <c r="A240" s="485" t="s">
        <v>156</v>
      </c>
      <c r="B240" s="333"/>
      <c r="C240" s="271" t="s">
        <v>1382</v>
      </c>
      <c r="D240" s="827"/>
      <c r="E240" s="270"/>
      <c r="F240" s="491"/>
      <c r="G240" s="289"/>
      <c r="H240" s="289"/>
      <c r="I240" s="356"/>
      <c r="J240" s="357"/>
      <c r="K240" s="488">
        <f>K241+K242+K243+K244+K245</f>
        <v>0</v>
      </c>
      <c r="L240" s="489"/>
      <c r="M240" s="488">
        <f>SUM(M241:M245)</f>
        <v>0</v>
      </c>
      <c r="N240" s="489"/>
      <c r="O240" s="488">
        <f>SUM(O241:O245)</f>
        <v>0</v>
      </c>
      <c r="P240" s="489"/>
      <c r="Q240" s="488">
        <f>SUM(Q241:Q245)</f>
        <v>0</v>
      </c>
      <c r="R240" s="489"/>
      <c r="S240" s="488">
        <f>SUM(S241:S245)</f>
        <v>0</v>
      </c>
      <c r="T240" s="313"/>
      <c r="U240" s="313">
        <f>SUM(U241:U245)</f>
        <v>0</v>
      </c>
      <c r="V240" s="293"/>
      <c r="W240" s="293"/>
      <c r="Y240" s="562"/>
      <c r="Z240" s="293"/>
      <c r="AA240" s="772"/>
      <c r="AB240" s="543"/>
      <c r="AC240" s="543"/>
      <c r="AD240" s="716"/>
      <c r="AE240" s="716"/>
      <c r="AF240" s="701"/>
      <c r="AG240" s="701"/>
      <c r="AH240" s="546"/>
      <c r="AI240" s="675"/>
      <c r="AJ240" s="293"/>
      <c r="AK240" s="563"/>
      <c r="AL240" s="554"/>
      <c r="AM240" s="562"/>
      <c r="AN240" s="293"/>
      <c r="AO240" s="293"/>
      <c r="AP240" s="293"/>
      <c r="AQ240" s="293"/>
      <c r="AR240" s="293"/>
      <c r="AS240" s="563"/>
      <c r="AU240" s="293"/>
      <c r="AV240" s="293"/>
      <c r="AW240" s="293"/>
      <c r="AX240" s="293"/>
      <c r="AY240" s="293"/>
      <c r="AZ240" s="293"/>
      <c r="BA240" s="293"/>
      <c r="BB240" s="293"/>
      <c r="BC240" s="293"/>
      <c r="BD240" s="293"/>
      <c r="BF240" s="445"/>
    </row>
    <row r="241" spans="1:72" ht="24.75" customHeight="1">
      <c r="A241" s="116">
        <v>4620748861068</v>
      </c>
      <c r="B241" s="100">
        <v>3639</v>
      </c>
      <c r="C241" s="251" t="s">
        <v>1383</v>
      </c>
      <c r="D241" s="826"/>
      <c r="E241" s="110" t="s">
        <v>304</v>
      </c>
      <c r="F241" s="249"/>
      <c r="G241" s="190"/>
      <c r="H241" s="190"/>
      <c r="I241" s="239"/>
      <c r="J241" s="238">
        <v>295</v>
      </c>
      <c r="K241" s="104">
        <f t="shared" ref="K241:K245" si="144">J241*F241</f>
        <v>0</v>
      </c>
      <c r="L241" s="238">
        <f>J241+J241*5%</f>
        <v>309.75</v>
      </c>
      <c r="M241" s="104">
        <f t="shared" ref="M241:M245" si="145">F241*L241</f>
        <v>0</v>
      </c>
      <c r="N241" s="238">
        <f>J241+J241*10%</f>
        <v>324.5</v>
      </c>
      <c r="O241" s="104">
        <f t="shared" ref="O241:O245" si="146">F241*N241</f>
        <v>0</v>
      </c>
      <c r="P241" s="238">
        <f>J241+J241*15%</f>
        <v>339.25</v>
      </c>
      <c r="Q241" s="104">
        <f t="shared" ref="Q241:Q245" si="147">F241*P241</f>
        <v>0</v>
      </c>
      <c r="R241" s="238">
        <f>J241+J241*25%</f>
        <v>368.75</v>
      </c>
      <c r="S241" s="104">
        <f t="shared" ref="S241:S245" si="148">F241*R241</f>
        <v>0</v>
      </c>
      <c r="T241" s="105">
        <v>155</v>
      </c>
      <c r="U241" s="105">
        <f>T241*F241</f>
        <v>0</v>
      </c>
      <c r="V241" s="106"/>
      <c r="W241" s="301">
        <v>560</v>
      </c>
      <c r="Y241" s="567">
        <v>12</v>
      </c>
      <c r="Z241" s="189">
        <v>3</v>
      </c>
      <c r="AA241" s="541" t="s">
        <v>1384</v>
      </c>
      <c r="AB241" s="537">
        <v>43704</v>
      </c>
      <c r="AC241" s="537">
        <v>45530</v>
      </c>
      <c r="AD241" s="718" t="s">
        <v>1385</v>
      </c>
      <c r="AE241" s="718" t="s">
        <v>67</v>
      </c>
      <c r="AF241" s="700" t="s">
        <v>1386</v>
      </c>
      <c r="AG241" s="700" t="s">
        <v>1387</v>
      </c>
      <c r="AH241" s="547" t="s">
        <v>1388</v>
      </c>
      <c r="AI241" s="691" t="s">
        <v>1389</v>
      </c>
      <c r="AJ241" s="189"/>
      <c r="AK241" s="568">
        <v>3304990000</v>
      </c>
      <c r="AM241" s="610" t="s">
        <v>1390</v>
      </c>
      <c r="AN241" s="611" t="s">
        <v>1391</v>
      </c>
      <c r="AO241" s="611" t="s">
        <v>1392</v>
      </c>
      <c r="AP241" s="612" t="s">
        <v>1393</v>
      </c>
      <c r="AQ241" s="637" t="s">
        <v>1394</v>
      </c>
      <c r="AR241" s="619" t="s">
        <v>340</v>
      </c>
      <c r="AS241" s="615"/>
      <c r="AU241" s="189"/>
      <c r="AV241" s="189"/>
      <c r="AW241" s="189"/>
      <c r="AX241" s="512">
        <f>136*51*34/1000000000</f>
        <v>2.3582400000000001E-4</v>
      </c>
      <c r="AY241" s="507" t="e">
        <f>AX241*#REF!</f>
        <v>#REF!</v>
      </c>
      <c r="AZ241" s="189"/>
      <c r="BA241" s="189"/>
      <c r="BB241" s="189"/>
      <c r="BC241" s="517"/>
      <c r="BD241" s="189"/>
      <c r="BF241" s="445"/>
      <c r="BG241" s="442"/>
      <c r="BH241" s="442"/>
      <c r="BI241" s="442" t="s">
        <v>318</v>
      </c>
      <c r="BJ241" s="21" t="s">
        <v>319</v>
      </c>
    </row>
    <row r="242" spans="1:72" ht="20.25" customHeight="1">
      <c r="A242" s="116">
        <v>4627186340735</v>
      </c>
      <c r="B242" s="100">
        <v>3640</v>
      </c>
      <c r="C242" s="251" t="s">
        <v>1395</v>
      </c>
      <c r="D242" s="826"/>
      <c r="E242" s="110" t="s">
        <v>304</v>
      </c>
      <c r="F242" s="249"/>
      <c r="G242" s="190"/>
      <c r="H242" s="190"/>
      <c r="I242" s="239"/>
      <c r="J242" s="238">
        <v>195</v>
      </c>
      <c r="K242" s="104">
        <f t="shared" si="144"/>
        <v>0</v>
      </c>
      <c r="L242" s="238">
        <f t="shared" ref="L242:L245" si="149">J242+J242*5%</f>
        <v>204.75</v>
      </c>
      <c r="M242" s="104">
        <f t="shared" si="145"/>
        <v>0</v>
      </c>
      <c r="N242" s="238">
        <f t="shared" ref="N242:N245" si="150">J242+J242*10%</f>
        <v>214.5</v>
      </c>
      <c r="O242" s="104">
        <f t="shared" si="146"/>
        <v>0</v>
      </c>
      <c r="P242" s="238">
        <f t="shared" ref="P242:P245" si="151">J242+J242*15%</f>
        <v>224.25</v>
      </c>
      <c r="Q242" s="104">
        <f t="shared" si="147"/>
        <v>0</v>
      </c>
      <c r="R242" s="238">
        <f t="shared" ref="R242:R245" si="152">J242+J242*25%</f>
        <v>243.75</v>
      </c>
      <c r="S242" s="104">
        <f t="shared" si="148"/>
        <v>0</v>
      </c>
      <c r="T242" s="105">
        <v>80</v>
      </c>
      <c r="U242" s="105">
        <f>T242*F242</f>
        <v>0</v>
      </c>
      <c r="V242" s="106"/>
      <c r="W242" s="301">
        <v>370</v>
      </c>
      <c r="Y242" s="567">
        <v>12</v>
      </c>
      <c r="Z242" s="189">
        <v>3</v>
      </c>
      <c r="AA242" s="541" t="s">
        <v>934</v>
      </c>
      <c r="AB242" s="537">
        <v>43705</v>
      </c>
      <c r="AC242" s="537">
        <v>45531</v>
      </c>
      <c r="AD242" s="718" t="s">
        <v>935</v>
      </c>
      <c r="AE242" s="718" t="s">
        <v>67</v>
      </c>
      <c r="AF242" s="700" t="s">
        <v>360</v>
      </c>
      <c r="AG242" s="700" t="s">
        <v>1396</v>
      </c>
      <c r="AH242" s="547" t="s">
        <v>1397</v>
      </c>
      <c r="AI242" s="707" t="s">
        <v>1398</v>
      </c>
      <c r="AJ242" s="189"/>
      <c r="AK242" s="568">
        <v>3304990000</v>
      </c>
      <c r="AM242" s="610" t="s">
        <v>1399</v>
      </c>
      <c r="AN242" s="611" t="s">
        <v>1400</v>
      </c>
      <c r="AO242" s="611" t="s">
        <v>1401</v>
      </c>
      <c r="AP242" s="616" t="s">
        <v>1402</v>
      </c>
      <c r="AQ242" s="637" t="s">
        <v>1403</v>
      </c>
      <c r="AR242" s="621"/>
      <c r="AS242" s="618"/>
      <c r="AU242" s="189"/>
      <c r="AV242" s="189"/>
      <c r="AW242" s="189"/>
      <c r="AX242" s="512">
        <f>159*52*34/1000000000</f>
        <v>2.8111199999999997E-4</v>
      </c>
      <c r="AY242" s="507" t="e">
        <f>AX242*#REF!</f>
        <v>#REF!</v>
      </c>
      <c r="AZ242" s="189"/>
      <c r="BA242" s="189"/>
      <c r="BB242" s="189"/>
      <c r="BC242" s="517"/>
      <c r="BD242" s="189"/>
      <c r="BF242" s="445"/>
      <c r="BG242" s="442"/>
      <c r="BH242" s="442"/>
    </row>
    <row r="243" spans="1:72" ht="20.25" customHeight="1">
      <c r="A243" s="116">
        <v>4620748862201</v>
      </c>
      <c r="B243" s="100">
        <v>3641</v>
      </c>
      <c r="C243" s="251" t="s">
        <v>1404</v>
      </c>
      <c r="D243" s="826"/>
      <c r="E243" s="110" t="s">
        <v>287</v>
      </c>
      <c r="F243" s="249"/>
      <c r="G243" s="190"/>
      <c r="H243" s="190"/>
      <c r="I243" s="239"/>
      <c r="J243" s="238">
        <v>265</v>
      </c>
      <c r="K243" s="104">
        <f t="shared" si="144"/>
        <v>0</v>
      </c>
      <c r="L243" s="238">
        <f t="shared" si="149"/>
        <v>278.25</v>
      </c>
      <c r="M243" s="104">
        <f t="shared" si="145"/>
        <v>0</v>
      </c>
      <c r="N243" s="238">
        <f t="shared" si="150"/>
        <v>291.5</v>
      </c>
      <c r="O243" s="104">
        <f t="shared" si="146"/>
        <v>0</v>
      </c>
      <c r="P243" s="238">
        <f t="shared" si="151"/>
        <v>304.75</v>
      </c>
      <c r="Q243" s="104">
        <f t="shared" si="147"/>
        <v>0</v>
      </c>
      <c r="R243" s="238">
        <f t="shared" si="152"/>
        <v>331.25</v>
      </c>
      <c r="S243" s="104">
        <f t="shared" si="148"/>
        <v>0</v>
      </c>
      <c r="T243" s="105">
        <v>105</v>
      </c>
      <c r="U243" s="105">
        <f>T243*F243</f>
        <v>0</v>
      </c>
      <c r="V243" s="106"/>
      <c r="W243" s="301">
        <v>500</v>
      </c>
      <c r="Y243" s="567">
        <v>12</v>
      </c>
      <c r="Z243" s="189">
        <v>3</v>
      </c>
      <c r="AA243" s="541" t="s">
        <v>934</v>
      </c>
      <c r="AB243" s="537">
        <v>43705</v>
      </c>
      <c r="AC243" s="537">
        <v>45531</v>
      </c>
      <c r="AD243" s="718" t="s">
        <v>935</v>
      </c>
      <c r="AE243" s="718" t="s">
        <v>67</v>
      </c>
      <c r="AF243" s="700" t="s">
        <v>1405</v>
      </c>
      <c r="AG243" s="700" t="s">
        <v>1406</v>
      </c>
      <c r="AH243" s="547" t="s">
        <v>1407</v>
      </c>
      <c r="AI243" s="707" t="s">
        <v>1408</v>
      </c>
      <c r="AJ243" s="189"/>
      <c r="AK243" s="568">
        <v>3304990000</v>
      </c>
      <c r="AM243" s="610" t="s">
        <v>1409</v>
      </c>
      <c r="AN243" s="611" t="s">
        <v>1410</v>
      </c>
      <c r="AO243" s="611" t="s">
        <v>1411</v>
      </c>
      <c r="AP243" s="616" t="s">
        <v>1412</v>
      </c>
      <c r="AQ243" s="637" t="s">
        <v>1413</v>
      </c>
      <c r="AR243" s="621"/>
      <c r="AS243" s="618"/>
      <c r="AU243" s="189"/>
      <c r="AV243" s="189"/>
      <c r="AW243" s="189"/>
      <c r="AX243" s="512">
        <f>146*51*29/1000000000</f>
        <v>2.1593400000000001E-4</v>
      </c>
      <c r="AY243" s="507" t="e">
        <f>AX243*#REF!</f>
        <v>#REF!</v>
      </c>
      <c r="AZ243" s="189"/>
      <c r="BA243" s="189"/>
      <c r="BB243" s="189"/>
      <c r="BC243" s="517"/>
      <c r="BD243" s="189"/>
      <c r="BF243" s="445"/>
      <c r="BG243" s="442" t="s">
        <v>853</v>
      </c>
      <c r="BH243" s="442" t="s">
        <v>922</v>
      </c>
    </row>
    <row r="244" spans="1:72" ht="27" customHeight="1">
      <c r="A244" s="116">
        <v>4627186340957</v>
      </c>
      <c r="B244" s="100">
        <v>3634</v>
      </c>
      <c r="C244" s="251" t="s">
        <v>1414</v>
      </c>
      <c r="D244" s="826"/>
      <c r="E244" s="110" t="s">
        <v>252</v>
      </c>
      <c r="F244" s="249"/>
      <c r="G244" s="190"/>
      <c r="H244" s="190"/>
      <c r="I244" s="239"/>
      <c r="J244" s="238">
        <v>270</v>
      </c>
      <c r="K244" s="104">
        <f t="shared" si="144"/>
        <v>0</v>
      </c>
      <c r="L244" s="238">
        <f t="shared" si="149"/>
        <v>283.5</v>
      </c>
      <c r="M244" s="104">
        <f t="shared" si="145"/>
        <v>0</v>
      </c>
      <c r="N244" s="238">
        <f t="shared" si="150"/>
        <v>297</v>
      </c>
      <c r="O244" s="104">
        <f t="shared" si="146"/>
        <v>0</v>
      </c>
      <c r="P244" s="238">
        <f t="shared" si="151"/>
        <v>310.5</v>
      </c>
      <c r="Q244" s="104">
        <f t="shared" si="147"/>
        <v>0</v>
      </c>
      <c r="R244" s="238">
        <f t="shared" si="152"/>
        <v>337.5</v>
      </c>
      <c r="S244" s="104">
        <f t="shared" si="148"/>
        <v>0</v>
      </c>
      <c r="T244" s="105">
        <v>153</v>
      </c>
      <c r="U244" s="105">
        <f>T244*F244</f>
        <v>0</v>
      </c>
      <c r="V244" s="106"/>
      <c r="W244" s="301">
        <v>510</v>
      </c>
      <c r="Y244" s="567">
        <v>12</v>
      </c>
      <c r="Z244" s="189">
        <v>3</v>
      </c>
      <c r="AA244" s="541" t="s">
        <v>934</v>
      </c>
      <c r="AB244" s="537">
        <v>43705</v>
      </c>
      <c r="AC244" s="537">
        <v>45531</v>
      </c>
      <c r="AD244" s="718" t="s">
        <v>935</v>
      </c>
      <c r="AE244" s="718" t="s">
        <v>67</v>
      </c>
      <c r="AF244" s="700" t="s">
        <v>644</v>
      </c>
      <c r="AG244" s="700" t="s">
        <v>1415</v>
      </c>
      <c r="AH244" s="547" t="s">
        <v>1416</v>
      </c>
      <c r="AI244" s="707" t="s">
        <v>1417</v>
      </c>
      <c r="AJ244" s="189"/>
      <c r="AK244" s="568">
        <v>3304990000</v>
      </c>
      <c r="AM244" s="610" t="s">
        <v>1418</v>
      </c>
      <c r="AN244" s="611" t="s">
        <v>1419</v>
      </c>
      <c r="AO244" s="611" t="s">
        <v>1420</v>
      </c>
      <c r="AP244" s="616" t="s">
        <v>1421</v>
      </c>
      <c r="AQ244" s="637" t="s">
        <v>1422</v>
      </c>
      <c r="AR244" s="621"/>
      <c r="AS244" s="618"/>
      <c r="AU244" s="189"/>
      <c r="AV244" s="189"/>
      <c r="AW244" s="189"/>
      <c r="AX244" s="521" t="s">
        <v>1416</v>
      </c>
      <c r="AY244" s="507"/>
      <c r="AZ244" s="189"/>
      <c r="BA244" s="189"/>
      <c r="BB244" s="189"/>
      <c r="BC244" s="517"/>
      <c r="BD244" s="189"/>
      <c r="BF244" s="445"/>
      <c r="BG244" s="442" t="s">
        <v>760</v>
      </c>
      <c r="BH244" s="442" t="s">
        <v>517</v>
      </c>
    </row>
    <row r="245" spans="1:72" s="285" customFormat="1" ht="24.75" customHeight="1">
      <c r="A245" s="361">
        <v>4627186340742</v>
      </c>
      <c r="B245" s="375">
        <v>3642</v>
      </c>
      <c r="C245" s="376" t="s">
        <v>1423</v>
      </c>
      <c r="D245" s="832"/>
      <c r="E245" s="377" t="s">
        <v>822</v>
      </c>
      <c r="F245" s="378"/>
      <c r="G245" s="379"/>
      <c r="H245" s="379"/>
      <c r="I245" s="380"/>
      <c r="J245" s="332">
        <v>270</v>
      </c>
      <c r="K245" s="306">
        <f t="shared" si="144"/>
        <v>0</v>
      </c>
      <c r="L245" s="238">
        <f t="shared" si="149"/>
        <v>283.5</v>
      </c>
      <c r="M245" s="306">
        <f t="shared" si="145"/>
        <v>0</v>
      </c>
      <c r="N245" s="238">
        <f t="shared" si="150"/>
        <v>297</v>
      </c>
      <c r="O245" s="306">
        <f t="shared" si="146"/>
        <v>0</v>
      </c>
      <c r="P245" s="238">
        <f t="shared" si="151"/>
        <v>310.5</v>
      </c>
      <c r="Q245" s="306">
        <f t="shared" si="147"/>
        <v>0</v>
      </c>
      <c r="R245" s="238">
        <f t="shared" si="152"/>
        <v>337.5</v>
      </c>
      <c r="S245" s="306">
        <f t="shared" si="148"/>
        <v>0</v>
      </c>
      <c r="T245" s="332">
        <v>84.8</v>
      </c>
      <c r="U245" s="332">
        <f>T245*F245</f>
        <v>0</v>
      </c>
      <c r="V245" s="381"/>
      <c r="W245" s="301">
        <v>510</v>
      </c>
      <c r="Y245" s="567">
        <v>12</v>
      </c>
      <c r="Z245" s="189">
        <v>3</v>
      </c>
      <c r="AA245" s="541" t="s">
        <v>1384</v>
      </c>
      <c r="AB245" s="537">
        <v>43704</v>
      </c>
      <c r="AC245" s="537">
        <v>45530</v>
      </c>
      <c r="AD245" s="718" t="s">
        <v>1385</v>
      </c>
      <c r="AE245" s="718" t="s">
        <v>67</v>
      </c>
      <c r="AF245" s="700" t="s">
        <v>1022</v>
      </c>
      <c r="AG245" s="700" t="s">
        <v>1424</v>
      </c>
      <c r="AH245" s="547" t="s">
        <v>824</v>
      </c>
      <c r="AI245" s="707" t="s">
        <v>1425</v>
      </c>
      <c r="AJ245" s="189"/>
      <c r="AK245" s="574">
        <v>3304990000</v>
      </c>
      <c r="AL245" s="446"/>
      <c r="AM245" s="610" t="s">
        <v>1426</v>
      </c>
      <c r="AN245" s="611" t="s">
        <v>1427</v>
      </c>
      <c r="AO245" s="611" t="s">
        <v>1428</v>
      </c>
      <c r="AP245" s="612" t="s">
        <v>1429</v>
      </c>
      <c r="AQ245" s="637" t="s">
        <v>1430</v>
      </c>
      <c r="AR245" s="619" t="s">
        <v>340</v>
      </c>
      <c r="AS245" s="615"/>
      <c r="AT245" s="4"/>
      <c r="AU245" s="189"/>
      <c r="AV245" s="189"/>
      <c r="AW245" s="189"/>
      <c r="AX245" s="482">
        <f>124*35*35/1000000000</f>
        <v>1.5190000000000001E-4</v>
      </c>
      <c r="AY245" s="484" t="e">
        <f>AX245*#REF!</f>
        <v>#REF!</v>
      </c>
      <c r="AZ245" s="189"/>
      <c r="BA245" s="189"/>
      <c r="BB245" s="189"/>
      <c r="BC245" s="517"/>
      <c r="BD245" s="189"/>
      <c r="BE245" s="4"/>
      <c r="BF245" s="527"/>
      <c r="BG245" s="442" t="s">
        <v>740</v>
      </c>
      <c r="BH245" s="442" t="s">
        <v>407</v>
      </c>
      <c r="BI245" s="4"/>
      <c r="BJ245" s="4"/>
      <c r="BK245" s="4"/>
      <c r="BL245" s="4"/>
      <c r="BM245" s="4"/>
      <c r="BN245" s="4"/>
      <c r="BO245" s="4"/>
      <c r="BP245" s="4"/>
      <c r="BQ245" s="4"/>
      <c r="BR245" s="4"/>
      <c r="BS245" s="4"/>
      <c r="BT245" s="4"/>
    </row>
    <row r="246" spans="1:72" s="3" customFormat="1" ht="24.75" customHeight="1">
      <c r="A246" s="485" t="s">
        <v>156</v>
      </c>
      <c r="B246" s="274"/>
      <c r="C246" s="271" t="s">
        <v>1431</v>
      </c>
      <c r="D246" s="827"/>
      <c r="E246" s="270"/>
      <c r="F246" s="491"/>
      <c r="G246" s="461"/>
      <c r="H246" s="461"/>
      <c r="I246" s="462"/>
      <c r="J246" s="463"/>
      <c r="K246" s="488">
        <f>K247+K248+K249+K250+K251+K252+K253+K254+K255+K256+K257+K258+K259+K260+K261+K263+K264+K265+K262</f>
        <v>0</v>
      </c>
      <c r="L246" s="489"/>
      <c r="M246" s="488">
        <f>M247+M248+M249+M250+M251+M252+M253+M254+M255+M256+M257+M258+M259+M260+M261+M263+M264+M265+M262</f>
        <v>0</v>
      </c>
      <c r="N246" s="489"/>
      <c r="O246" s="488">
        <f>O247+O248+O249+O250+O251+O252+O253+O254+O255+O256+O257+O258+O259+O260+O261+O263+O264+O265+O262</f>
        <v>0</v>
      </c>
      <c r="P246" s="489"/>
      <c r="Q246" s="488">
        <f>Q247+Q248+Q249+Q250+Q251+Q252+Q253+Q254+Q255+Q256+Q257+Q258+Q259+Q260+Q261+Q263+Q264+Q265+Q262</f>
        <v>0</v>
      </c>
      <c r="R246" s="489"/>
      <c r="S246" s="488">
        <f>S247+S248+S249+S250+S251+S252+S253+S254+S255+S256+S257+S258+S259+S260+S261+S263+S264+S265+S262</f>
        <v>0</v>
      </c>
      <c r="T246" s="346"/>
      <c r="U246" s="313">
        <f>U247+U248+U249+U250+U251+U252+U253+U254+U255+U256+U257+U258+U259+U260+U261+U263+U264+U265</f>
        <v>0</v>
      </c>
      <c r="V246" s="293"/>
      <c r="W246" s="293"/>
      <c r="X246" s="446"/>
      <c r="Y246" s="562"/>
      <c r="Z246" s="293"/>
      <c r="AA246" s="772"/>
      <c r="AB246" s="543"/>
      <c r="AC246" s="543"/>
      <c r="AD246" s="716"/>
      <c r="AE246" s="716"/>
      <c r="AF246" s="701"/>
      <c r="AG246" s="701"/>
      <c r="AH246" s="546"/>
      <c r="AI246" s="675"/>
      <c r="AJ246" s="293"/>
      <c r="AK246" s="563"/>
      <c r="AL246" s="554"/>
      <c r="AM246" s="562"/>
      <c r="AN246" s="293"/>
      <c r="AO246" s="293"/>
      <c r="AP246" s="293"/>
      <c r="AQ246" s="293"/>
      <c r="AR246" s="293"/>
      <c r="AS246" s="563"/>
      <c r="AU246" s="293"/>
      <c r="AV246" s="293"/>
      <c r="AW246" s="293"/>
      <c r="AX246" s="293"/>
      <c r="AY246" s="293"/>
      <c r="AZ246" s="293"/>
      <c r="BA246" s="293"/>
      <c r="BB246" s="293"/>
      <c r="BC246" s="293"/>
      <c r="BD246" s="293"/>
      <c r="BF246" s="447"/>
    </row>
    <row r="247" spans="1:72" s="441" customFormat="1" ht="21" customHeight="1">
      <c r="A247" s="382" t="s">
        <v>1432</v>
      </c>
      <c r="B247" s="383">
        <v>3448</v>
      </c>
      <c r="C247" s="384" t="s">
        <v>1433</v>
      </c>
      <c r="D247" s="834"/>
      <c r="E247" s="110" t="s">
        <v>287</v>
      </c>
      <c r="F247" s="326"/>
      <c r="G247" s="385"/>
      <c r="H247" s="385"/>
      <c r="I247" s="386"/>
      <c r="J247" s="387">
        <v>240</v>
      </c>
      <c r="K247" s="291">
        <f t="shared" ref="K247:K261" si="153">J247*F247</f>
        <v>0</v>
      </c>
      <c r="L247" s="387">
        <f>J247+J247*5%</f>
        <v>252</v>
      </c>
      <c r="M247" s="291">
        <f>L247*F247</f>
        <v>0</v>
      </c>
      <c r="N247" s="387">
        <f>J247+J247*10%</f>
        <v>264</v>
      </c>
      <c r="O247" s="291">
        <f>N247*F247</f>
        <v>0</v>
      </c>
      <c r="P247" s="387">
        <f>J247+J247*15%</f>
        <v>276</v>
      </c>
      <c r="Q247" s="291">
        <f>P247*F247</f>
        <v>0</v>
      </c>
      <c r="R247" s="387">
        <f>J247+J247*25%</f>
        <v>300</v>
      </c>
      <c r="S247" s="291">
        <f>R247*F247</f>
        <v>0</v>
      </c>
      <c r="T247" s="388">
        <v>124</v>
      </c>
      <c r="U247" s="341">
        <f>T247*F247</f>
        <v>0</v>
      </c>
      <c r="V247" s="389"/>
      <c r="W247" s="301">
        <v>455</v>
      </c>
      <c r="X247" s="446"/>
      <c r="Y247" s="567">
        <v>9</v>
      </c>
      <c r="Z247" s="189">
        <v>3</v>
      </c>
      <c r="AA247" s="541" t="s">
        <v>1434</v>
      </c>
      <c r="AB247" s="537">
        <v>44193</v>
      </c>
      <c r="AC247" s="537">
        <v>46018</v>
      </c>
      <c r="AD247" s="718" t="s">
        <v>1435</v>
      </c>
      <c r="AE247" s="718" t="s">
        <v>67</v>
      </c>
      <c r="AF247" s="700"/>
      <c r="AG247" s="700"/>
      <c r="AH247" s="547" t="s">
        <v>1436</v>
      </c>
      <c r="AI247" s="691" t="s">
        <v>1437</v>
      </c>
      <c r="AJ247" s="511" t="s">
        <v>279</v>
      </c>
      <c r="AK247" s="568">
        <v>3304990000</v>
      </c>
      <c r="AL247" s="551"/>
      <c r="AM247" s="610" t="s">
        <v>1438</v>
      </c>
      <c r="AN247" s="273" t="s">
        <v>1439</v>
      </c>
      <c r="AO247" s="611" t="s">
        <v>1440</v>
      </c>
      <c r="AP247" s="608" t="s">
        <v>1441</v>
      </c>
      <c r="AQ247" s="617" t="s">
        <v>1442</v>
      </c>
      <c r="AR247" s="619" t="s">
        <v>340</v>
      </c>
      <c r="AS247" s="639"/>
      <c r="AT247" s="3"/>
      <c r="AU247" s="525"/>
      <c r="AV247" s="525"/>
      <c r="AW247" s="525"/>
      <c r="AX247" s="510"/>
      <c r="AY247" s="104"/>
      <c r="AZ247" s="511"/>
      <c r="BA247" s="511"/>
      <c r="BB247" s="511"/>
      <c r="BC247" s="189"/>
      <c r="BD247" s="133"/>
      <c r="BE247" s="3"/>
      <c r="BF247" s="447"/>
      <c r="BG247" s="3"/>
      <c r="BH247" s="3"/>
      <c r="BI247" s="3"/>
      <c r="BJ247" s="3"/>
      <c r="BK247" s="3"/>
      <c r="BL247" s="3"/>
      <c r="BM247" s="3"/>
      <c r="BN247" s="3"/>
      <c r="BO247" s="3"/>
      <c r="BP247" s="3"/>
      <c r="BQ247" s="3"/>
      <c r="BR247" s="3"/>
      <c r="BS247" s="3"/>
      <c r="BT247" s="3"/>
    </row>
    <row r="248" spans="1:72" s="441" customFormat="1" ht="21" customHeight="1">
      <c r="A248" s="382" t="s">
        <v>1443</v>
      </c>
      <c r="B248" s="383">
        <v>3449</v>
      </c>
      <c r="C248" s="384" t="s">
        <v>1444</v>
      </c>
      <c r="D248" s="834"/>
      <c r="E248" s="110" t="s">
        <v>287</v>
      </c>
      <c r="F248" s="326"/>
      <c r="G248" s="385"/>
      <c r="H248" s="385"/>
      <c r="I248" s="386"/>
      <c r="J248" s="387">
        <v>225</v>
      </c>
      <c r="K248" s="291">
        <f t="shared" si="153"/>
        <v>0</v>
      </c>
      <c r="L248" s="387">
        <f t="shared" ref="L248:L265" si="154">J248+J248*5%</f>
        <v>236.25</v>
      </c>
      <c r="M248" s="291">
        <f>L248*F248</f>
        <v>0</v>
      </c>
      <c r="N248" s="387">
        <f t="shared" ref="N248:N265" si="155">J248+J248*10%</f>
        <v>247.5</v>
      </c>
      <c r="O248" s="291">
        <f>N248*F248</f>
        <v>0</v>
      </c>
      <c r="P248" s="387">
        <f t="shared" ref="P248:P265" si="156">J248+J248*15%</f>
        <v>258.75</v>
      </c>
      <c r="Q248" s="291">
        <f>P248*F248</f>
        <v>0</v>
      </c>
      <c r="R248" s="387">
        <f t="shared" ref="R248:R265" si="157">J248+J248*25%</f>
        <v>281.25</v>
      </c>
      <c r="S248" s="291">
        <f>R248*F248</f>
        <v>0</v>
      </c>
      <c r="T248" s="388">
        <v>124</v>
      </c>
      <c r="U248" s="341">
        <f>T248*F248</f>
        <v>0</v>
      </c>
      <c r="V248" s="389"/>
      <c r="W248" s="301">
        <v>425</v>
      </c>
      <c r="X248" s="446"/>
      <c r="Y248" s="567">
        <v>9</v>
      </c>
      <c r="Z248" s="189">
        <v>3</v>
      </c>
      <c r="AA248" s="541" t="s">
        <v>1434</v>
      </c>
      <c r="AB248" s="537">
        <v>44193</v>
      </c>
      <c r="AC248" s="537">
        <v>46018</v>
      </c>
      <c r="AD248" s="718" t="s">
        <v>1435</v>
      </c>
      <c r="AE248" s="718" t="s">
        <v>67</v>
      </c>
      <c r="AF248" s="700"/>
      <c r="AG248" s="700"/>
      <c r="AH248" s="547" t="s">
        <v>1436</v>
      </c>
      <c r="AI248" s="691" t="s">
        <v>1437</v>
      </c>
      <c r="AJ248" s="511" t="s">
        <v>279</v>
      </c>
      <c r="AK248" s="568">
        <v>3304990000</v>
      </c>
      <c r="AL248" s="551"/>
      <c r="AM248" s="610" t="s">
        <v>1445</v>
      </c>
      <c r="AN248" s="273" t="s">
        <v>1446</v>
      </c>
      <c r="AO248" s="611" t="s">
        <v>1447</v>
      </c>
      <c r="AP248" s="608" t="s">
        <v>1448</v>
      </c>
      <c r="AQ248" s="617" t="s">
        <v>1449</v>
      </c>
      <c r="AR248" s="619" t="s">
        <v>340</v>
      </c>
      <c r="AS248" s="639"/>
      <c r="AT248" s="3"/>
      <c r="AU248" s="525"/>
      <c r="AV248" s="525"/>
      <c r="AW248" s="525"/>
      <c r="AX248" s="510"/>
      <c r="AY248" s="104"/>
      <c r="AZ248" s="511"/>
      <c r="BA248" s="511"/>
      <c r="BB248" s="511"/>
      <c r="BC248" s="189"/>
      <c r="BD248" s="133"/>
      <c r="BE248" s="3"/>
      <c r="BF248" s="447"/>
      <c r="BG248" s="3"/>
      <c r="BH248" s="3"/>
      <c r="BI248" s="3"/>
      <c r="BJ248" s="3"/>
      <c r="BK248" s="3"/>
      <c r="BL248" s="3"/>
      <c r="BM248" s="3"/>
      <c r="BN248" s="3"/>
      <c r="BO248" s="3"/>
      <c r="BP248" s="3"/>
      <c r="BQ248" s="3"/>
      <c r="BR248" s="3"/>
      <c r="BS248" s="3"/>
      <c r="BT248" s="3"/>
    </row>
    <row r="249" spans="1:72" s="3" customFormat="1" ht="19.5" customHeight="1">
      <c r="A249" s="331">
        <v>4627101822452</v>
      </c>
      <c r="B249" s="108">
        <v>3451</v>
      </c>
      <c r="C249" s="251" t="s">
        <v>1450</v>
      </c>
      <c r="D249" s="826"/>
      <c r="E249" s="110" t="s">
        <v>287</v>
      </c>
      <c r="F249" s="326"/>
      <c r="G249" s="111"/>
      <c r="H249" s="111"/>
      <c r="I249" s="239"/>
      <c r="J249" s="238">
        <v>320</v>
      </c>
      <c r="K249" s="104">
        <f t="shared" si="153"/>
        <v>0</v>
      </c>
      <c r="L249" s="387">
        <f t="shared" si="154"/>
        <v>336</v>
      </c>
      <c r="M249" s="104">
        <f>F249*L249</f>
        <v>0</v>
      </c>
      <c r="N249" s="387">
        <f t="shared" si="155"/>
        <v>352</v>
      </c>
      <c r="O249" s="104">
        <f>F249*N249</f>
        <v>0</v>
      </c>
      <c r="P249" s="387">
        <f t="shared" si="156"/>
        <v>368</v>
      </c>
      <c r="Q249" s="104">
        <f>F249*P249</f>
        <v>0</v>
      </c>
      <c r="R249" s="387">
        <f t="shared" si="157"/>
        <v>400</v>
      </c>
      <c r="S249" s="104">
        <f>F249*R249</f>
        <v>0</v>
      </c>
      <c r="T249" s="388">
        <v>124</v>
      </c>
      <c r="U249" s="105">
        <f>F249*T249</f>
        <v>0</v>
      </c>
      <c r="V249" s="106"/>
      <c r="W249" s="301">
        <v>605</v>
      </c>
      <c r="X249" s="446"/>
      <c r="Y249" s="567">
        <v>9</v>
      </c>
      <c r="Z249" s="189">
        <v>3</v>
      </c>
      <c r="AA249" s="541" t="s">
        <v>1434</v>
      </c>
      <c r="AB249" s="537">
        <v>44193</v>
      </c>
      <c r="AC249" s="537">
        <v>46018</v>
      </c>
      <c r="AD249" s="718" t="s">
        <v>1435</v>
      </c>
      <c r="AE249" s="718" t="s">
        <v>67</v>
      </c>
      <c r="AF249" s="700"/>
      <c r="AG249" s="700"/>
      <c r="AH249" s="547" t="s">
        <v>1436</v>
      </c>
      <c r="AI249" s="691" t="s">
        <v>1437</v>
      </c>
      <c r="AJ249" s="511" t="s">
        <v>279</v>
      </c>
      <c r="AK249" s="568">
        <v>3304990000</v>
      </c>
      <c r="AL249" s="551"/>
      <c r="AM249" s="610" t="s">
        <v>1451</v>
      </c>
      <c r="AN249" s="273" t="s">
        <v>1452</v>
      </c>
      <c r="AO249" s="611" t="s">
        <v>1453</v>
      </c>
      <c r="AP249" s="624" t="s">
        <v>1454</v>
      </c>
      <c r="AQ249" s="617" t="s">
        <v>1455</v>
      </c>
      <c r="AR249" s="619" t="s">
        <v>340</v>
      </c>
      <c r="AS249" s="625"/>
      <c r="AU249" s="511"/>
      <c r="AV249" s="511"/>
      <c r="AW249" s="511"/>
      <c r="AX249" s="512">
        <f>140*45*45/1000000000</f>
        <v>2.8350000000000001E-4</v>
      </c>
      <c r="AY249" s="507" t="e">
        <f>AX249*#REF!</f>
        <v>#REF!</v>
      </c>
      <c r="AZ249" s="511">
        <v>17</v>
      </c>
      <c r="BA249" s="511">
        <v>13</v>
      </c>
      <c r="BB249" s="511">
        <v>21</v>
      </c>
      <c r="BC249" s="189"/>
      <c r="BD249" s="189"/>
      <c r="BE249" s="442" t="s">
        <v>354</v>
      </c>
      <c r="BF249" s="447"/>
      <c r="BG249" s="442" t="s">
        <v>353</v>
      </c>
      <c r="BH249" s="442" t="s">
        <v>354</v>
      </c>
    </row>
    <row r="250" spans="1:72" s="3" customFormat="1" ht="20.25" customHeight="1">
      <c r="A250" s="116">
        <v>4627101829529</v>
      </c>
      <c r="B250" s="108">
        <v>3450</v>
      </c>
      <c r="C250" s="251" t="s">
        <v>1456</v>
      </c>
      <c r="D250" s="826"/>
      <c r="E250" s="110" t="s">
        <v>287</v>
      </c>
      <c r="F250" s="326"/>
      <c r="G250" s="276"/>
      <c r="H250" s="276"/>
      <c r="I250" s="317"/>
      <c r="J250" s="275">
        <v>280</v>
      </c>
      <c r="K250" s="318">
        <f t="shared" si="153"/>
        <v>0</v>
      </c>
      <c r="L250" s="339">
        <f t="shared" si="154"/>
        <v>294</v>
      </c>
      <c r="M250" s="318">
        <f>F250*L250</f>
        <v>0</v>
      </c>
      <c r="N250" s="339">
        <f t="shared" si="155"/>
        <v>308</v>
      </c>
      <c r="O250" s="318">
        <f>F250*N250</f>
        <v>0</v>
      </c>
      <c r="P250" s="339">
        <f t="shared" si="156"/>
        <v>322</v>
      </c>
      <c r="Q250" s="318">
        <f>F250*P250</f>
        <v>0</v>
      </c>
      <c r="R250" s="339">
        <f t="shared" si="157"/>
        <v>350</v>
      </c>
      <c r="S250" s="318">
        <f>F250*R250</f>
        <v>0</v>
      </c>
      <c r="T250" s="339">
        <v>124</v>
      </c>
      <c r="U250" s="275">
        <f>F250*T250</f>
        <v>0</v>
      </c>
      <c r="V250" s="390"/>
      <c r="W250" s="391">
        <v>530</v>
      </c>
      <c r="X250" s="446"/>
      <c r="Y250" s="567">
        <v>9</v>
      </c>
      <c r="Z250" s="189">
        <v>3</v>
      </c>
      <c r="AA250" s="814" t="s">
        <v>1434</v>
      </c>
      <c r="AB250" s="815">
        <v>44193</v>
      </c>
      <c r="AC250" s="815">
        <v>46018</v>
      </c>
      <c r="AD250" s="718" t="s">
        <v>1435</v>
      </c>
      <c r="AE250" s="816" t="s">
        <v>67</v>
      </c>
      <c r="AF250" s="797"/>
      <c r="AG250" s="797"/>
      <c r="AH250" s="547" t="s">
        <v>1436</v>
      </c>
      <c r="AI250" s="691" t="s">
        <v>1437</v>
      </c>
      <c r="AJ250" s="525" t="s">
        <v>279</v>
      </c>
      <c r="AK250" s="574">
        <v>3304990000</v>
      </c>
      <c r="AL250" s="446"/>
      <c r="AM250" s="610" t="s">
        <v>1457</v>
      </c>
      <c r="AN250" s="273" t="s">
        <v>1452</v>
      </c>
      <c r="AO250" s="611" t="s">
        <v>1453</v>
      </c>
      <c r="AP250" s="817" t="s">
        <v>1458</v>
      </c>
      <c r="AQ250" s="818" t="s">
        <v>1455</v>
      </c>
      <c r="AR250" s="659" t="s">
        <v>340</v>
      </c>
      <c r="AS250" s="819"/>
      <c r="AU250" s="525"/>
      <c r="AV250" s="525"/>
      <c r="AW250" s="525"/>
      <c r="AX250" s="526">
        <f>140*45*45/1000000000</f>
        <v>2.8350000000000001E-4</v>
      </c>
      <c r="AY250" s="484" t="e">
        <f>AX250*#REF!</f>
        <v>#REF!</v>
      </c>
      <c r="AZ250" s="525">
        <v>17</v>
      </c>
      <c r="BA250" s="525">
        <v>13</v>
      </c>
      <c r="BB250" s="525">
        <v>21</v>
      </c>
      <c r="BC250" s="189"/>
      <c r="BD250" s="189"/>
      <c r="BE250" s="442"/>
      <c r="BF250" s="451"/>
      <c r="BG250" s="442"/>
      <c r="BH250" s="442"/>
    </row>
    <row r="251" spans="1:72" s="3" customFormat="1" ht="19.5" customHeight="1">
      <c r="A251" s="331">
        <v>4627101822506</v>
      </c>
      <c r="B251" s="108">
        <v>3452</v>
      </c>
      <c r="C251" s="251" t="s">
        <v>1459</v>
      </c>
      <c r="D251" s="826"/>
      <c r="E251" s="110" t="s">
        <v>287</v>
      </c>
      <c r="F251" s="326"/>
      <c r="G251" s="111"/>
      <c r="H251" s="111"/>
      <c r="I251" s="239"/>
      <c r="J251" s="238">
        <v>295</v>
      </c>
      <c r="K251" s="104">
        <f t="shared" si="153"/>
        <v>0</v>
      </c>
      <c r="L251" s="387">
        <f t="shared" si="154"/>
        <v>309.75</v>
      </c>
      <c r="M251" s="104">
        <f>F251*L251</f>
        <v>0</v>
      </c>
      <c r="N251" s="387">
        <f t="shared" si="155"/>
        <v>324.5</v>
      </c>
      <c r="O251" s="104">
        <f>F251*N251</f>
        <v>0</v>
      </c>
      <c r="P251" s="387">
        <f t="shared" si="156"/>
        <v>339.25</v>
      </c>
      <c r="Q251" s="104">
        <f>F251*P251</f>
        <v>0</v>
      </c>
      <c r="R251" s="387">
        <f t="shared" si="157"/>
        <v>368.75</v>
      </c>
      <c r="S251" s="104">
        <f>F251*R251</f>
        <v>0</v>
      </c>
      <c r="T251" s="388">
        <v>124</v>
      </c>
      <c r="U251" s="105">
        <f>F251*T251</f>
        <v>0</v>
      </c>
      <c r="V251" s="106"/>
      <c r="W251" s="301">
        <v>560</v>
      </c>
      <c r="X251" s="446"/>
      <c r="Y251" s="567">
        <v>9</v>
      </c>
      <c r="Z251" s="189">
        <v>3</v>
      </c>
      <c r="AA251" s="541" t="s">
        <v>1434</v>
      </c>
      <c r="AB251" s="537">
        <v>44193</v>
      </c>
      <c r="AC251" s="537">
        <v>46018</v>
      </c>
      <c r="AD251" s="718" t="s">
        <v>1435</v>
      </c>
      <c r="AE251" s="718" t="s">
        <v>67</v>
      </c>
      <c r="AF251" s="700"/>
      <c r="AG251" s="700"/>
      <c r="AH251" s="547" t="s">
        <v>1436</v>
      </c>
      <c r="AI251" s="691" t="s">
        <v>1437</v>
      </c>
      <c r="AJ251" s="511" t="s">
        <v>279</v>
      </c>
      <c r="AK251" s="568">
        <v>3304990000</v>
      </c>
      <c r="AL251" s="551"/>
      <c r="AM251" s="610" t="s">
        <v>1460</v>
      </c>
      <c r="AN251" s="273" t="s">
        <v>1461</v>
      </c>
      <c r="AO251" s="611" t="s">
        <v>1462</v>
      </c>
      <c r="AP251" s="616" t="s">
        <v>1463</v>
      </c>
      <c r="AQ251" s="617" t="s">
        <v>1464</v>
      </c>
      <c r="AR251" s="619" t="s">
        <v>340</v>
      </c>
      <c r="AS251" s="618"/>
      <c r="AU251" s="511"/>
      <c r="AV251" s="511"/>
      <c r="AW251" s="511"/>
      <c r="AX251" s="512">
        <f>140*45*45/1000000000</f>
        <v>2.8350000000000001E-4</v>
      </c>
      <c r="AY251" s="507" t="e">
        <f>AX251*#REF!</f>
        <v>#REF!</v>
      </c>
      <c r="AZ251" s="511">
        <v>17</v>
      </c>
      <c r="BA251" s="511">
        <v>13</v>
      </c>
      <c r="BB251" s="511">
        <v>21</v>
      </c>
      <c r="BC251" s="189"/>
      <c r="BD251" s="189"/>
      <c r="BE251" s="442" t="s">
        <v>354</v>
      </c>
      <c r="BF251" s="447"/>
      <c r="BG251" s="442" t="s">
        <v>353</v>
      </c>
      <c r="BH251" s="442" t="s">
        <v>354</v>
      </c>
    </row>
    <row r="252" spans="1:72" s="3" customFormat="1" ht="19.149999999999999" customHeight="1">
      <c r="A252" s="331">
        <v>4627186340087</v>
      </c>
      <c r="B252" s="108">
        <v>3453</v>
      </c>
      <c r="C252" s="251" t="s">
        <v>1465</v>
      </c>
      <c r="D252" s="826"/>
      <c r="E252" s="110" t="s">
        <v>287</v>
      </c>
      <c r="F252" s="326"/>
      <c r="G252" s="111"/>
      <c r="H252" s="111"/>
      <c r="I252" s="239"/>
      <c r="J252" s="238">
        <v>245</v>
      </c>
      <c r="K252" s="104">
        <f t="shared" si="153"/>
        <v>0</v>
      </c>
      <c r="L252" s="387">
        <f t="shared" si="154"/>
        <v>257.25</v>
      </c>
      <c r="M252" s="104">
        <f>L252*F252</f>
        <v>0</v>
      </c>
      <c r="N252" s="387">
        <f t="shared" si="155"/>
        <v>269.5</v>
      </c>
      <c r="O252" s="104">
        <f>N252*F252</f>
        <v>0</v>
      </c>
      <c r="P252" s="387">
        <f t="shared" si="156"/>
        <v>281.75</v>
      </c>
      <c r="Q252" s="104">
        <f>P252*F252</f>
        <v>0</v>
      </c>
      <c r="R252" s="387">
        <f t="shared" si="157"/>
        <v>306.25</v>
      </c>
      <c r="S252" s="104">
        <f>R252*F252</f>
        <v>0</v>
      </c>
      <c r="T252" s="388">
        <v>124</v>
      </c>
      <c r="U252" s="105">
        <f>T252*F252</f>
        <v>0</v>
      </c>
      <c r="V252" s="106"/>
      <c r="W252" s="301">
        <v>465</v>
      </c>
      <c r="X252" s="446"/>
      <c r="Y252" s="567">
        <v>9</v>
      </c>
      <c r="Z252" s="189">
        <v>3</v>
      </c>
      <c r="AA252" s="541" t="s">
        <v>1434</v>
      </c>
      <c r="AB252" s="537">
        <v>44193</v>
      </c>
      <c r="AC252" s="537">
        <v>46018</v>
      </c>
      <c r="AD252" s="718" t="s">
        <v>1435</v>
      </c>
      <c r="AE252" s="718" t="s">
        <v>67</v>
      </c>
      <c r="AF252" s="700"/>
      <c r="AG252" s="700"/>
      <c r="AH252" s="547" t="s">
        <v>1436</v>
      </c>
      <c r="AI252" s="691" t="s">
        <v>1437</v>
      </c>
      <c r="AJ252" s="511" t="s">
        <v>279</v>
      </c>
      <c r="AK252" s="568">
        <v>3304990000</v>
      </c>
      <c r="AL252" s="551"/>
      <c r="AM252" s="610" t="s">
        <v>1466</v>
      </c>
      <c r="AN252" s="273" t="s">
        <v>1467</v>
      </c>
      <c r="AO252" s="611" t="s">
        <v>1468</v>
      </c>
      <c r="AP252" s="616" t="s">
        <v>1469</v>
      </c>
      <c r="AQ252" s="617" t="s">
        <v>1470</v>
      </c>
      <c r="AR252" s="619" t="s">
        <v>340</v>
      </c>
      <c r="AS252" s="618"/>
      <c r="AU252" s="511"/>
      <c r="AV252" s="511"/>
      <c r="AW252" s="511"/>
      <c r="AX252" s="512"/>
      <c r="AY252" s="507"/>
      <c r="AZ252" s="511"/>
      <c r="BA252" s="511"/>
      <c r="BB252" s="511"/>
      <c r="BC252" s="189"/>
      <c r="BD252" s="189"/>
      <c r="BE252" s="442"/>
      <c r="BF252" s="447"/>
      <c r="BG252" s="442"/>
      <c r="BH252" s="442"/>
    </row>
    <row r="253" spans="1:72" s="3" customFormat="1" ht="21" customHeight="1">
      <c r="A253" s="331">
        <v>4627186340094</v>
      </c>
      <c r="B253" s="108">
        <v>3454</v>
      </c>
      <c r="C253" s="251" t="s">
        <v>1471</v>
      </c>
      <c r="D253" s="826"/>
      <c r="E253" s="110" t="s">
        <v>287</v>
      </c>
      <c r="F253" s="326"/>
      <c r="G253" s="111"/>
      <c r="H253" s="111"/>
      <c r="I253" s="239"/>
      <c r="J253" s="238">
        <v>245</v>
      </c>
      <c r="K253" s="104">
        <f t="shared" si="153"/>
        <v>0</v>
      </c>
      <c r="L253" s="387">
        <f t="shared" si="154"/>
        <v>257.25</v>
      </c>
      <c r="M253" s="104">
        <f>L253*F253</f>
        <v>0</v>
      </c>
      <c r="N253" s="387">
        <f t="shared" si="155"/>
        <v>269.5</v>
      </c>
      <c r="O253" s="104">
        <f>N253*F253</f>
        <v>0</v>
      </c>
      <c r="P253" s="387">
        <f t="shared" si="156"/>
        <v>281.75</v>
      </c>
      <c r="Q253" s="104">
        <f>P253*F253</f>
        <v>0</v>
      </c>
      <c r="R253" s="387">
        <f t="shared" si="157"/>
        <v>306.25</v>
      </c>
      <c r="S253" s="104">
        <f>R253*F253</f>
        <v>0</v>
      </c>
      <c r="T253" s="388">
        <v>124</v>
      </c>
      <c r="U253" s="105">
        <f>T253*F253</f>
        <v>0</v>
      </c>
      <c r="V253" s="106"/>
      <c r="W253" s="301">
        <v>465</v>
      </c>
      <c r="X253" s="446"/>
      <c r="Y253" s="567">
        <v>9</v>
      </c>
      <c r="Z253" s="189">
        <v>3</v>
      </c>
      <c r="AA253" s="541" t="s">
        <v>1434</v>
      </c>
      <c r="AB253" s="537">
        <v>44193</v>
      </c>
      <c r="AC253" s="537">
        <v>46018</v>
      </c>
      <c r="AD253" s="718" t="s">
        <v>1435</v>
      </c>
      <c r="AE253" s="718" t="s">
        <v>67</v>
      </c>
      <c r="AF253" s="700"/>
      <c r="AG253" s="700"/>
      <c r="AH253" s="547" t="s">
        <v>1436</v>
      </c>
      <c r="AI253" s="691" t="s">
        <v>1437</v>
      </c>
      <c r="AJ253" s="511" t="s">
        <v>279</v>
      </c>
      <c r="AK253" s="568">
        <v>3304990000</v>
      </c>
      <c r="AL253" s="551"/>
      <c r="AM253" s="610" t="s">
        <v>1472</v>
      </c>
      <c r="AN253" s="273" t="s">
        <v>1473</v>
      </c>
      <c r="AO253" s="611" t="s">
        <v>1474</v>
      </c>
      <c r="AP253" s="616" t="s">
        <v>1475</v>
      </c>
      <c r="AQ253" s="617" t="s">
        <v>1476</v>
      </c>
      <c r="AR253" s="619" t="s">
        <v>340</v>
      </c>
      <c r="AS253" s="618"/>
      <c r="AU253" s="511"/>
      <c r="AV253" s="511"/>
      <c r="AW253" s="511"/>
      <c r="AX253" s="512"/>
      <c r="AY253" s="507"/>
      <c r="AZ253" s="511"/>
      <c r="BA253" s="511"/>
      <c r="BB253" s="511"/>
      <c r="BC253" s="189"/>
      <c r="BD253" s="189"/>
      <c r="BE253" s="442"/>
      <c r="BF253" s="447"/>
      <c r="BG253" s="442"/>
      <c r="BH253" s="442"/>
    </row>
    <row r="254" spans="1:72" s="3" customFormat="1" ht="20.25" customHeight="1">
      <c r="A254" s="331">
        <v>4627186340070</v>
      </c>
      <c r="B254" s="108">
        <v>3455</v>
      </c>
      <c r="C254" s="251" t="s">
        <v>1477</v>
      </c>
      <c r="D254" s="826"/>
      <c r="E254" s="110" t="s">
        <v>287</v>
      </c>
      <c r="F254" s="326"/>
      <c r="G254" s="111"/>
      <c r="H254" s="111"/>
      <c r="I254" s="239"/>
      <c r="J254" s="238">
        <v>250</v>
      </c>
      <c r="K254" s="104">
        <f t="shared" si="153"/>
        <v>0</v>
      </c>
      <c r="L254" s="387">
        <f t="shared" si="154"/>
        <v>262.5</v>
      </c>
      <c r="M254" s="104">
        <f>L254*F254</f>
        <v>0</v>
      </c>
      <c r="N254" s="387">
        <f t="shared" si="155"/>
        <v>275</v>
      </c>
      <c r="O254" s="104">
        <f>N254*F254</f>
        <v>0</v>
      </c>
      <c r="P254" s="387">
        <f t="shared" si="156"/>
        <v>287.5</v>
      </c>
      <c r="Q254" s="104">
        <f>P254*F254</f>
        <v>0</v>
      </c>
      <c r="R254" s="387">
        <f t="shared" si="157"/>
        <v>312.5</v>
      </c>
      <c r="S254" s="104">
        <f>R254*F254</f>
        <v>0</v>
      </c>
      <c r="T254" s="388">
        <v>124</v>
      </c>
      <c r="U254" s="105">
        <f>T254*F254</f>
        <v>0</v>
      </c>
      <c r="V254" s="106"/>
      <c r="W254" s="301">
        <v>475</v>
      </c>
      <c r="X254" s="446"/>
      <c r="Y254" s="567">
        <v>9</v>
      </c>
      <c r="Z254" s="189">
        <v>3</v>
      </c>
      <c r="AA254" s="541" t="s">
        <v>1434</v>
      </c>
      <c r="AB254" s="537">
        <v>44193</v>
      </c>
      <c r="AC254" s="537">
        <v>46018</v>
      </c>
      <c r="AD254" s="718" t="s">
        <v>1435</v>
      </c>
      <c r="AE254" s="718" t="s">
        <v>67</v>
      </c>
      <c r="AF254" s="700"/>
      <c r="AG254" s="700"/>
      <c r="AH254" s="547" t="s">
        <v>1436</v>
      </c>
      <c r="AI254" s="691" t="s">
        <v>1437</v>
      </c>
      <c r="AJ254" s="511" t="s">
        <v>279</v>
      </c>
      <c r="AK254" s="568">
        <v>3304990000</v>
      </c>
      <c r="AL254" s="551"/>
      <c r="AM254" s="610" t="s">
        <v>1478</v>
      </c>
      <c r="AN254" s="273" t="s">
        <v>1479</v>
      </c>
      <c r="AO254" s="611" t="s">
        <v>1480</v>
      </c>
      <c r="AP254" s="616" t="s">
        <v>1481</v>
      </c>
      <c r="AQ254" s="617" t="s">
        <v>1482</v>
      </c>
      <c r="AR254" s="619" t="s">
        <v>340</v>
      </c>
      <c r="AS254" s="618"/>
      <c r="AU254" s="511"/>
      <c r="AV254" s="511"/>
      <c r="AW254" s="511"/>
      <c r="AX254" s="512"/>
      <c r="AY254" s="507"/>
      <c r="AZ254" s="511"/>
      <c r="BA254" s="511"/>
      <c r="BB254" s="511"/>
      <c r="BC254" s="189"/>
      <c r="BD254" s="189"/>
      <c r="BE254" s="442"/>
      <c r="BF254" s="447"/>
      <c r="BG254" s="442"/>
      <c r="BH254" s="442"/>
    </row>
    <row r="255" spans="1:72" s="3" customFormat="1" ht="19.5" customHeight="1">
      <c r="A255" s="331">
        <v>4627101822476</v>
      </c>
      <c r="B255" s="108">
        <v>3456</v>
      </c>
      <c r="C255" s="251" t="s">
        <v>1483</v>
      </c>
      <c r="D255" s="826"/>
      <c r="E255" s="110" t="s">
        <v>287</v>
      </c>
      <c r="F255" s="326"/>
      <c r="G255" s="111"/>
      <c r="H255" s="111"/>
      <c r="I255" s="239"/>
      <c r="J255" s="238">
        <v>210</v>
      </c>
      <c r="K255" s="104">
        <f t="shared" si="153"/>
        <v>0</v>
      </c>
      <c r="L255" s="387">
        <f t="shared" si="154"/>
        <v>220.5</v>
      </c>
      <c r="M255" s="104">
        <f>F255*L255</f>
        <v>0</v>
      </c>
      <c r="N255" s="387">
        <f t="shared" si="155"/>
        <v>231</v>
      </c>
      <c r="O255" s="104">
        <f>F255*N255</f>
        <v>0</v>
      </c>
      <c r="P255" s="387">
        <f t="shared" si="156"/>
        <v>241.5</v>
      </c>
      <c r="Q255" s="104">
        <f>F255*P255</f>
        <v>0</v>
      </c>
      <c r="R255" s="387">
        <f t="shared" si="157"/>
        <v>262.5</v>
      </c>
      <c r="S255" s="104">
        <f>F255*R255</f>
        <v>0</v>
      </c>
      <c r="T255" s="388">
        <v>124</v>
      </c>
      <c r="U255" s="105">
        <f>F255*T255</f>
        <v>0</v>
      </c>
      <c r="V255" s="106"/>
      <c r="W255" s="301">
        <v>395</v>
      </c>
      <c r="X255" s="446"/>
      <c r="Y255" s="567">
        <v>9</v>
      </c>
      <c r="Z255" s="189">
        <v>3</v>
      </c>
      <c r="AA255" s="541" t="s">
        <v>1434</v>
      </c>
      <c r="AB255" s="537">
        <v>44193</v>
      </c>
      <c r="AC255" s="537">
        <v>46018</v>
      </c>
      <c r="AD255" s="718" t="s">
        <v>1435</v>
      </c>
      <c r="AE255" s="718" t="s">
        <v>67</v>
      </c>
      <c r="AF255" s="700"/>
      <c r="AG255" s="700"/>
      <c r="AH255" s="547" t="s">
        <v>1436</v>
      </c>
      <c r="AI255" s="691" t="s">
        <v>1437</v>
      </c>
      <c r="AJ255" s="511" t="s">
        <v>279</v>
      </c>
      <c r="AK255" s="568">
        <v>3304990000</v>
      </c>
      <c r="AL255" s="551"/>
      <c r="AM255" s="610" t="s">
        <v>1484</v>
      </c>
      <c r="AN255" s="273" t="s">
        <v>1485</v>
      </c>
      <c r="AO255" s="611" t="s">
        <v>1486</v>
      </c>
      <c r="AP255" s="616" t="s">
        <v>1487</v>
      </c>
      <c r="AQ255" s="617" t="s">
        <v>1488</v>
      </c>
      <c r="AR255" s="619" t="s">
        <v>340</v>
      </c>
      <c r="AS255" s="618"/>
      <c r="AU255" s="511"/>
      <c r="AV255" s="511"/>
      <c r="AW255" s="511"/>
      <c r="AX255" s="512">
        <f>140*45*45/1000000000</f>
        <v>2.8350000000000001E-4</v>
      </c>
      <c r="AY255" s="507" t="e">
        <f>AX255*#REF!</f>
        <v>#REF!</v>
      </c>
      <c r="AZ255" s="511">
        <v>17</v>
      </c>
      <c r="BA255" s="511">
        <v>13</v>
      </c>
      <c r="BB255" s="511">
        <v>21</v>
      </c>
      <c r="BC255" s="189"/>
      <c r="BD255" s="189"/>
      <c r="BE255" s="442" t="s">
        <v>354</v>
      </c>
      <c r="BF255" s="447"/>
      <c r="BG255" s="442" t="s">
        <v>353</v>
      </c>
      <c r="BH255" s="442" t="s">
        <v>354</v>
      </c>
    </row>
    <row r="256" spans="1:72" s="3" customFormat="1" ht="19.5" customHeight="1">
      <c r="A256" s="331">
        <v>4627101822483</v>
      </c>
      <c r="B256" s="108">
        <v>3457</v>
      </c>
      <c r="C256" s="251" t="s">
        <v>1489</v>
      </c>
      <c r="D256" s="826"/>
      <c r="E256" s="110" t="s">
        <v>287</v>
      </c>
      <c r="F256" s="326"/>
      <c r="G256" s="111"/>
      <c r="H256" s="111"/>
      <c r="I256" s="239"/>
      <c r="J256" s="238">
        <v>255</v>
      </c>
      <c r="K256" s="104">
        <f t="shared" si="153"/>
        <v>0</v>
      </c>
      <c r="L256" s="387">
        <f t="shared" si="154"/>
        <v>267.75</v>
      </c>
      <c r="M256" s="104">
        <f>F256*L256</f>
        <v>0</v>
      </c>
      <c r="N256" s="387">
        <f t="shared" si="155"/>
        <v>280.5</v>
      </c>
      <c r="O256" s="104">
        <f>F256*N256</f>
        <v>0</v>
      </c>
      <c r="P256" s="387">
        <f t="shared" si="156"/>
        <v>293.25</v>
      </c>
      <c r="Q256" s="104">
        <f>F256*P256</f>
        <v>0</v>
      </c>
      <c r="R256" s="387">
        <f t="shared" si="157"/>
        <v>318.75</v>
      </c>
      <c r="S256" s="104">
        <f>F256*R256</f>
        <v>0</v>
      </c>
      <c r="T256" s="388">
        <v>124</v>
      </c>
      <c r="U256" s="105">
        <f>F256*T256</f>
        <v>0</v>
      </c>
      <c r="V256" s="106"/>
      <c r="W256" s="301">
        <v>480</v>
      </c>
      <c r="X256" s="446"/>
      <c r="Y256" s="567">
        <v>9</v>
      </c>
      <c r="Z256" s="189">
        <v>3</v>
      </c>
      <c r="AA256" s="541" t="s">
        <v>1434</v>
      </c>
      <c r="AB256" s="537">
        <v>44193</v>
      </c>
      <c r="AC256" s="537">
        <v>46018</v>
      </c>
      <c r="AD256" s="718" t="s">
        <v>1435</v>
      </c>
      <c r="AE256" s="718" t="s">
        <v>67</v>
      </c>
      <c r="AF256" s="700" t="s">
        <v>1490</v>
      </c>
      <c r="AG256" s="700" t="s">
        <v>465</v>
      </c>
      <c r="AH256" s="547" t="s">
        <v>1436</v>
      </c>
      <c r="AI256" s="691" t="s">
        <v>1437</v>
      </c>
      <c r="AJ256" s="511" t="s">
        <v>279</v>
      </c>
      <c r="AK256" s="568">
        <v>3304990000</v>
      </c>
      <c r="AL256" s="551"/>
      <c r="AM256" s="610" t="s">
        <v>1491</v>
      </c>
      <c r="AN256" s="273" t="s">
        <v>1492</v>
      </c>
      <c r="AO256" s="611" t="s">
        <v>1462</v>
      </c>
      <c r="AP256" s="616" t="s">
        <v>1493</v>
      </c>
      <c r="AQ256" s="617" t="s">
        <v>1494</v>
      </c>
      <c r="AR256" s="619" t="s">
        <v>340</v>
      </c>
      <c r="AS256" s="618"/>
      <c r="AU256" s="511"/>
      <c r="AV256" s="511"/>
      <c r="AW256" s="511"/>
      <c r="AX256" s="512">
        <f>140*45*45/1000000000</f>
        <v>2.8350000000000001E-4</v>
      </c>
      <c r="AY256" s="507" t="e">
        <f>AX256*#REF!</f>
        <v>#REF!</v>
      </c>
      <c r="AZ256" s="511">
        <v>17</v>
      </c>
      <c r="BA256" s="511">
        <v>13</v>
      </c>
      <c r="BB256" s="511">
        <v>21</v>
      </c>
      <c r="BC256" s="189"/>
      <c r="BD256" s="189"/>
      <c r="BE256" s="442" t="s">
        <v>354</v>
      </c>
      <c r="BF256" s="447"/>
      <c r="BG256" s="442" t="s">
        <v>353</v>
      </c>
      <c r="BH256" s="442" t="s">
        <v>354</v>
      </c>
    </row>
    <row r="257" spans="1:60" s="3" customFormat="1" ht="19.5" customHeight="1">
      <c r="A257" s="331">
        <v>4627186340117</v>
      </c>
      <c r="B257" s="108">
        <v>3458</v>
      </c>
      <c r="C257" s="251" t="s">
        <v>1495</v>
      </c>
      <c r="D257" s="826"/>
      <c r="E257" s="110" t="s">
        <v>287</v>
      </c>
      <c r="F257" s="326"/>
      <c r="G257" s="111"/>
      <c r="H257" s="111"/>
      <c r="I257" s="239"/>
      <c r="J257" s="238">
        <v>250</v>
      </c>
      <c r="K257" s="104">
        <f t="shared" si="153"/>
        <v>0</v>
      </c>
      <c r="L257" s="387">
        <f t="shared" si="154"/>
        <v>262.5</v>
      </c>
      <c r="M257" s="104">
        <f>L257*F257</f>
        <v>0</v>
      </c>
      <c r="N257" s="387">
        <f t="shared" si="155"/>
        <v>275</v>
      </c>
      <c r="O257" s="104">
        <f>N257*F257</f>
        <v>0</v>
      </c>
      <c r="P257" s="387">
        <f t="shared" si="156"/>
        <v>287.5</v>
      </c>
      <c r="Q257" s="104">
        <f>P257*F257</f>
        <v>0</v>
      </c>
      <c r="R257" s="387">
        <f t="shared" si="157"/>
        <v>312.5</v>
      </c>
      <c r="S257" s="104">
        <f>R257*F257</f>
        <v>0</v>
      </c>
      <c r="T257" s="388">
        <v>124</v>
      </c>
      <c r="U257" s="105">
        <f>T257*F257</f>
        <v>0</v>
      </c>
      <c r="V257" s="106"/>
      <c r="W257" s="301">
        <v>475</v>
      </c>
      <c r="X257" s="446"/>
      <c r="Y257" s="567">
        <v>9</v>
      </c>
      <c r="Z257" s="189">
        <v>3</v>
      </c>
      <c r="AA257" s="541" t="s">
        <v>1434</v>
      </c>
      <c r="AB257" s="537">
        <v>44193</v>
      </c>
      <c r="AC257" s="537">
        <v>46018</v>
      </c>
      <c r="AD257" s="718" t="s">
        <v>1435</v>
      </c>
      <c r="AE257" s="718" t="s">
        <v>67</v>
      </c>
      <c r="AF257" s="700"/>
      <c r="AG257" s="700"/>
      <c r="AH257" s="547" t="s">
        <v>1436</v>
      </c>
      <c r="AI257" s="691" t="s">
        <v>1437</v>
      </c>
      <c r="AJ257" s="511" t="s">
        <v>279</v>
      </c>
      <c r="AK257" s="568">
        <v>3304990000</v>
      </c>
      <c r="AL257" s="551"/>
      <c r="AM257" s="610" t="s">
        <v>1496</v>
      </c>
      <c r="AN257" s="273" t="s">
        <v>1497</v>
      </c>
      <c r="AO257" s="611" t="s">
        <v>1498</v>
      </c>
      <c r="AP257" s="616" t="s">
        <v>1499</v>
      </c>
      <c r="AQ257" s="617" t="s">
        <v>1500</v>
      </c>
      <c r="AR257" s="619" t="s">
        <v>340</v>
      </c>
      <c r="AS257" s="618"/>
      <c r="AU257" s="511"/>
      <c r="AV257" s="511"/>
      <c r="AW257" s="511"/>
      <c r="AX257" s="512"/>
      <c r="AY257" s="507"/>
      <c r="AZ257" s="511"/>
      <c r="BA257" s="511"/>
      <c r="BB257" s="511"/>
      <c r="BC257" s="189"/>
      <c r="BD257" s="189"/>
      <c r="BE257" s="442"/>
      <c r="BF257" s="447"/>
      <c r="BG257" s="442"/>
      <c r="BH257" s="442"/>
    </row>
    <row r="258" spans="1:60" s="3" customFormat="1" ht="18" customHeight="1">
      <c r="A258" s="331">
        <v>4627101822490</v>
      </c>
      <c r="B258" s="108">
        <v>3459</v>
      </c>
      <c r="C258" s="251" t="s">
        <v>1501</v>
      </c>
      <c r="D258" s="826"/>
      <c r="E258" s="110" t="s">
        <v>287</v>
      </c>
      <c r="F258" s="326"/>
      <c r="G258" s="111"/>
      <c r="H258" s="111"/>
      <c r="I258" s="239"/>
      <c r="J258" s="238">
        <v>280</v>
      </c>
      <c r="K258" s="104">
        <f t="shared" si="153"/>
        <v>0</v>
      </c>
      <c r="L258" s="387">
        <f t="shared" si="154"/>
        <v>294</v>
      </c>
      <c r="M258" s="104">
        <f>F258*L258</f>
        <v>0</v>
      </c>
      <c r="N258" s="387">
        <f t="shared" si="155"/>
        <v>308</v>
      </c>
      <c r="O258" s="104">
        <f>F258*N258</f>
        <v>0</v>
      </c>
      <c r="P258" s="387">
        <f t="shared" si="156"/>
        <v>322</v>
      </c>
      <c r="Q258" s="104">
        <f>F258*P258</f>
        <v>0</v>
      </c>
      <c r="R258" s="387">
        <f t="shared" si="157"/>
        <v>350</v>
      </c>
      <c r="S258" s="104">
        <f>F258*R258</f>
        <v>0</v>
      </c>
      <c r="T258" s="388">
        <v>124</v>
      </c>
      <c r="U258" s="105">
        <f t="shared" ref="U258:U265" si="158">F258*T258</f>
        <v>0</v>
      </c>
      <c r="V258" s="106"/>
      <c r="W258" s="301">
        <v>530</v>
      </c>
      <c r="X258" s="446"/>
      <c r="Y258" s="567">
        <v>9</v>
      </c>
      <c r="Z258" s="189">
        <v>3</v>
      </c>
      <c r="AA258" s="541" t="s">
        <v>1434</v>
      </c>
      <c r="AB258" s="537">
        <v>44193</v>
      </c>
      <c r="AC258" s="537">
        <v>46018</v>
      </c>
      <c r="AD258" s="718" t="s">
        <v>1435</v>
      </c>
      <c r="AE258" s="718" t="s">
        <v>67</v>
      </c>
      <c r="AF258" s="700" t="s">
        <v>1406</v>
      </c>
      <c r="AG258" s="700" t="s">
        <v>1502</v>
      </c>
      <c r="AH258" s="547" t="s">
        <v>1436</v>
      </c>
      <c r="AI258" s="691" t="s">
        <v>1437</v>
      </c>
      <c r="AJ258" s="511" t="s">
        <v>279</v>
      </c>
      <c r="AK258" s="568">
        <v>3304990000</v>
      </c>
      <c r="AL258" s="551"/>
      <c r="AM258" s="610" t="s">
        <v>1503</v>
      </c>
      <c r="AN258" s="273" t="s">
        <v>1504</v>
      </c>
      <c r="AO258" s="611" t="s">
        <v>1453</v>
      </c>
      <c r="AP258" s="616" t="s">
        <v>1505</v>
      </c>
      <c r="AQ258" s="617" t="s">
        <v>1506</v>
      </c>
      <c r="AR258" s="619" t="s">
        <v>340</v>
      </c>
      <c r="AS258" s="618"/>
      <c r="AU258" s="511"/>
      <c r="AV258" s="511"/>
      <c r="AW258" s="511"/>
      <c r="AX258" s="512">
        <f t="shared" ref="AX258:AX265" si="159">140*45*45/1000000000</f>
        <v>2.8350000000000001E-4</v>
      </c>
      <c r="AY258" s="507" t="e">
        <f>AX258*#REF!</f>
        <v>#REF!</v>
      </c>
      <c r="AZ258" s="511">
        <v>17</v>
      </c>
      <c r="BA258" s="511">
        <v>13</v>
      </c>
      <c r="BB258" s="511">
        <v>21</v>
      </c>
      <c r="BC258" s="189"/>
      <c r="BD258" s="189"/>
      <c r="BE258" s="442" t="s">
        <v>354</v>
      </c>
      <c r="BF258" s="447"/>
      <c r="BG258" s="442" t="s">
        <v>353</v>
      </c>
      <c r="BH258" s="442" t="s">
        <v>354</v>
      </c>
    </row>
    <row r="259" spans="1:60" s="3" customFormat="1" ht="17.25" customHeight="1">
      <c r="A259" s="331">
        <v>4627101827679</v>
      </c>
      <c r="B259" s="108">
        <v>3460</v>
      </c>
      <c r="C259" s="251" t="s">
        <v>1507</v>
      </c>
      <c r="D259" s="826"/>
      <c r="E259" s="110" t="s">
        <v>287</v>
      </c>
      <c r="F259" s="326"/>
      <c r="G259" s="111"/>
      <c r="H259" s="111"/>
      <c r="I259" s="239"/>
      <c r="J259" s="238">
        <v>200</v>
      </c>
      <c r="K259" s="104">
        <f t="shared" si="153"/>
        <v>0</v>
      </c>
      <c r="L259" s="387">
        <f t="shared" si="154"/>
        <v>210</v>
      </c>
      <c r="M259" s="104">
        <f>L259*F259</f>
        <v>0</v>
      </c>
      <c r="N259" s="387">
        <f t="shared" si="155"/>
        <v>220</v>
      </c>
      <c r="O259" s="104">
        <f>N259*F259</f>
        <v>0</v>
      </c>
      <c r="P259" s="387">
        <f t="shared" si="156"/>
        <v>230</v>
      </c>
      <c r="Q259" s="104">
        <f>P259*F259</f>
        <v>0</v>
      </c>
      <c r="R259" s="387">
        <f t="shared" si="157"/>
        <v>250</v>
      </c>
      <c r="S259" s="104">
        <f>R259*F259</f>
        <v>0</v>
      </c>
      <c r="T259" s="388">
        <v>124</v>
      </c>
      <c r="U259" s="105">
        <f t="shared" si="158"/>
        <v>0</v>
      </c>
      <c r="V259" s="106"/>
      <c r="W259" s="301">
        <v>380</v>
      </c>
      <c r="X259" s="446"/>
      <c r="Y259" s="567">
        <v>9</v>
      </c>
      <c r="Z259" s="189">
        <v>3</v>
      </c>
      <c r="AA259" s="541" t="s">
        <v>1508</v>
      </c>
      <c r="AB259" s="537">
        <v>44162</v>
      </c>
      <c r="AC259" s="537">
        <v>45987</v>
      </c>
      <c r="AD259" s="718" t="s">
        <v>1509</v>
      </c>
      <c r="AE259" s="718" t="s">
        <v>67</v>
      </c>
      <c r="AF259" s="700"/>
      <c r="AG259" s="700"/>
      <c r="AH259" s="547" t="s">
        <v>1436</v>
      </c>
      <c r="AI259" s="691" t="s">
        <v>1437</v>
      </c>
      <c r="AJ259" s="511" t="s">
        <v>279</v>
      </c>
      <c r="AK259" s="568">
        <v>3304990000</v>
      </c>
      <c r="AL259" s="551"/>
      <c r="AM259" s="610" t="s">
        <v>1510</v>
      </c>
      <c r="AN259" s="273" t="s">
        <v>1511</v>
      </c>
      <c r="AO259" s="611" t="s">
        <v>1462</v>
      </c>
      <c r="AP259" s="616"/>
      <c r="AQ259" s="617" t="s">
        <v>1512</v>
      </c>
      <c r="AR259" s="619" t="s">
        <v>340</v>
      </c>
      <c r="AS259" s="618"/>
      <c r="AU259" s="511"/>
      <c r="AV259" s="511"/>
      <c r="AW259" s="511"/>
      <c r="AX259" s="512">
        <f t="shared" si="159"/>
        <v>2.8350000000000001E-4</v>
      </c>
      <c r="AY259" s="507" t="e">
        <f>AX259*#REF!</f>
        <v>#REF!</v>
      </c>
      <c r="AZ259" s="511">
        <v>17</v>
      </c>
      <c r="BA259" s="511">
        <v>13</v>
      </c>
      <c r="BB259" s="511">
        <v>21</v>
      </c>
      <c r="BC259" s="189"/>
      <c r="BD259" s="189"/>
      <c r="BE259" s="442" t="s">
        <v>354</v>
      </c>
      <c r="BF259" s="447"/>
      <c r="BG259" s="442" t="s">
        <v>353</v>
      </c>
      <c r="BH259" s="442" t="s">
        <v>354</v>
      </c>
    </row>
    <row r="260" spans="1:60" s="3" customFormat="1" ht="19.5" customHeight="1">
      <c r="A260" s="331">
        <v>4627101822445</v>
      </c>
      <c r="B260" s="108">
        <v>3461</v>
      </c>
      <c r="C260" s="251" t="s">
        <v>1513</v>
      </c>
      <c r="D260" s="826"/>
      <c r="E260" s="110" t="s">
        <v>287</v>
      </c>
      <c r="F260" s="326"/>
      <c r="G260" s="111"/>
      <c r="H260" s="111"/>
      <c r="I260" s="239"/>
      <c r="J260" s="238">
        <v>330</v>
      </c>
      <c r="K260" s="104">
        <f t="shared" si="153"/>
        <v>0</v>
      </c>
      <c r="L260" s="387">
        <f t="shared" si="154"/>
        <v>346.5</v>
      </c>
      <c r="M260" s="104">
        <f>F260*L260</f>
        <v>0</v>
      </c>
      <c r="N260" s="387">
        <f t="shared" si="155"/>
        <v>363</v>
      </c>
      <c r="O260" s="104">
        <f>F260*N260</f>
        <v>0</v>
      </c>
      <c r="P260" s="387">
        <f t="shared" si="156"/>
        <v>379.5</v>
      </c>
      <c r="Q260" s="104">
        <f>F260*P260</f>
        <v>0</v>
      </c>
      <c r="R260" s="387">
        <f t="shared" si="157"/>
        <v>412.5</v>
      </c>
      <c r="S260" s="104">
        <f>F260*R260</f>
        <v>0</v>
      </c>
      <c r="T260" s="388">
        <v>124</v>
      </c>
      <c r="U260" s="105">
        <f t="shared" si="158"/>
        <v>0</v>
      </c>
      <c r="V260" s="106"/>
      <c r="W260" s="301">
        <v>625</v>
      </c>
      <c r="X260" s="446"/>
      <c r="Y260" s="567">
        <v>9</v>
      </c>
      <c r="Z260" s="189">
        <v>3</v>
      </c>
      <c r="AA260" s="541" t="s">
        <v>1434</v>
      </c>
      <c r="AB260" s="537">
        <v>44193</v>
      </c>
      <c r="AC260" s="537">
        <v>46018</v>
      </c>
      <c r="AD260" s="718" t="s">
        <v>1435</v>
      </c>
      <c r="AE260" s="718" t="s">
        <v>67</v>
      </c>
      <c r="AF260" s="700" t="s">
        <v>1514</v>
      </c>
      <c r="AG260" s="700" t="s">
        <v>465</v>
      </c>
      <c r="AH260" s="547" t="s">
        <v>1436</v>
      </c>
      <c r="AI260" s="691" t="s">
        <v>1437</v>
      </c>
      <c r="AJ260" s="511" t="s">
        <v>279</v>
      </c>
      <c r="AK260" s="568">
        <v>3304990000</v>
      </c>
      <c r="AL260" s="551"/>
      <c r="AM260" s="610" t="s">
        <v>1515</v>
      </c>
      <c r="AN260" s="273" t="s">
        <v>1516</v>
      </c>
      <c r="AO260" s="611" t="s">
        <v>1462</v>
      </c>
      <c r="AP260" s="616" t="s">
        <v>1517</v>
      </c>
      <c r="AQ260" s="617" t="s">
        <v>1518</v>
      </c>
      <c r="AR260" s="619" t="s">
        <v>340</v>
      </c>
      <c r="AS260" s="618"/>
      <c r="AU260" s="511"/>
      <c r="AV260" s="511"/>
      <c r="AW260" s="511"/>
      <c r="AX260" s="512">
        <f t="shared" si="159"/>
        <v>2.8350000000000001E-4</v>
      </c>
      <c r="AY260" s="507" t="e">
        <f>AX260*#REF!</f>
        <v>#REF!</v>
      </c>
      <c r="AZ260" s="511">
        <v>17</v>
      </c>
      <c r="BA260" s="511">
        <v>13</v>
      </c>
      <c r="BB260" s="511">
        <v>21</v>
      </c>
      <c r="BC260" s="189"/>
      <c r="BD260" s="189"/>
      <c r="BE260" s="442" t="s">
        <v>354</v>
      </c>
      <c r="BF260" s="447"/>
      <c r="BG260" s="442" t="s">
        <v>353</v>
      </c>
      <c r="BH260" s="442" t="s">
        <v>354</v>
      </c>
    </row>
    <row r="261" spans="1:60" s="3" customFormat="1" ht="19.5" customHeight="1">
      <c r="A261" s="331">
        <v>4627101822469</v>
      </c>
      <c r="B261" s="108">
        <v>3462</v>
      </c>
      <c r="C261" s="251" t="s">
        <v>1519</v>
      </c>
      <c r="D261" s="826"/>
      <c r="E261" s="110" t="s">
        <v>287</v>
      </c>
      <c r="F261" s="326"/>
      <c r="G261" s="111"/>
      <c r="H261" s="111"/>
      <c r="I261" s="239"/>
      <c r="J261" s="238">
        <v>215</v>
      </c>
      <c r="K261" s="104">
        <f t="shared" si="153"/>
        <v>0</v>
      </c>
      <c r="L261" s="387">
        <f t="shared" si="154"/>
        <v>225.75</v>
      </c>
      <c r="M261" s="104">
        <f>F261*L261</f>
        <v>0</v>
      </c>
      <c r="N261" s="387">
        <f t="shared" si="155"/>
        <v>236.5</v>
      </c>
      <c r="O261" s="104">
        <f>F261*N261</f>
        <v>0</v>
      </c>
      <c r="P261" s="387">
        <f t="shared" si="156"/>
        <v>247.25</v>
      </c>
      <c r="Q261" s="104">
        <f>F261*P261</f>
        <v>0</v>
      </c>
      <c r="R261" s="387">
        <f t="shared" si="157"/>
        <v>268.75</v>
      </c>
      <c r="S261" s="104">
        <f>F261*R261</f>
        <v>0</v>
      </c>
      <c r="T261" s="388">
        <v>124</v>
      </c>
      <c r="U261" s="105">
        <f t="shared" si="158"/>
        <v>0</v>
      </c>
      <c r="V261" s="106"/>
      <c r="W261" s="301">
        <v>405</v>
      </c>
      <c r="X261" s="446"/>
      <c r="Y261" s="567">
        <v>9</v>
      </c>
      <c r="Z261" s="189">
        <v>3</v>
      </c>
      <c r="AA261" s="541" t="s">
        <v>1434</v>
      </c>
      <c r="AB261" s="537">
        <v>44193</v>
      </c>
      <c r="AC261" s="537">
        <v>46018</v>
      </c>
      <c r="AD261" s="718" t="s">
        <v>1435</v>
      </c>
      <c r="AE261" s="718" t="s">
        <v>67</v>
      </c>
      <c r="AF261" s="700" t="s">
        <v>1520</v>
      </c>
      <c r="AG261" s="700" t="s">
        <v>978</v>
      </c>
      <c r="AH261" s="547" t="s">
        <v>1436</v>
      </c>
      <c r="AI261" s="691" t="s">
        <v>1437</v>
      </c>
      <c r="AJ261" s="511" t="s">
        <v>279</v>
      </c>
      <c r="AK261" s="568">
        <v>3304990000</v>
      </c>
      <c r="AL261" s="551"/>
      <c r="AM261" s="610" t="s">
        <v>1521</v>
      </c>
      <c r="AN261" s="273" t="s">
        <v>1522</v>
      </c>
      <c r="AO261" s="611" t="s">
        <v>1453</v>
      </c>
      <c r="AP261" s="616" t="s">
        <v>1523</v>
      </c>
      <c r="AQ261" s="617" t="s">
        <v>1524</v>
      </c>
      <c r="AR261" s="619" t="s">
        <v>340</v>
      </c>
      <c r="AS261" s="618"/>
      <c r="AU261" s="511"/>
      <c r="AV261" s="511"/>
      <c r="AW261" s="511"/>
      <c r="AX261" s="512">
        <f t="shared" si="159"/>
        <v>2.8350000000000001E-4</v>
      </c>
      <c r="AY261" s="507" t="e">
        <f>AX261*#REF!</f>
        <v>#REF!</v>
      </c>
      <c r="AZ261" s="511">
        <v>17</v>
      </c>
      <c r="BA261" s="511">
        <v>13</v>
      </c>
      <c r="BB261" s="511">
        <v>21</v>
      </c>
      <c r="BC261" s="189"/>
      <c r="BD261" s="189"/>
      <c r="BE261" s="442" t="s">
        <v>354</v>
      </c>
      <c r="BF261" s="447"/>
      <c r="BG261" s="442" t="s">
        <v>353</v>
      </c>
      <c r="BH261" s="442" t="s">
        <v>354</v>
      </c>
    </row>
    <row r="262" spans="1:60" s="3" customFormat="1" ht="19.5" customHeight="1">
      <c r="A262" s="116">
        <v>4627101827686</v>
      </c>
      <c r="B262" s="108">
        <v>3463</v>
      </c>
      <c r="C262" s="251" t="s">
        <v>1525</v>
      </c>
      <c r="D262" s="826"/>
      <c r="E262" s="110"/>
      <c r="F262" s="326"/>
      <c r="G262" s="276"/>
      <c r="H262" s="276"/>
      <c r="I262" s="317"/>
      <c r="J262" s="275">
        <v>225</v>
      </c>
      <c r="K262" s="318">
        <f>J262*F262</f>
        <v>0</v>
      </c>
      <c r="L262" s="339">
        <f t="shared" si="154"/>
        <v>236.25</v>
      </c>
      <c r="M262" s="318">
        <f>L262*F262</f>
        <v>0</v>
      </c>
      <c r="N262" s="339">
        <f t="shared" si="155"/>
        <v>247.5</v>
      </c>
      <c r="O262" s="318">
        <f>N262*F262</f>
        <v>0</v>
      </c>
      <c r="P262" s="339">
        <f t="shared" si="156"/>
        <v>258.75</v>
      </c>
      <c r="Q262" s="318">
        <f>P262*F262</f>
        <v>0</v>
      </c>
      <c r="R262" s="339">
        <f t="shared" si="157"/>
        <v>281.25</v>
      </c>
      <c r="S262" s="318">
        <f>R262*F262</f>
        <v>0</v>
      </c>
      <c r="T262" s="388">
        <v>124</v>
      </c>
      <c r="U262" s="275">
        <f t="shared" si="158"/>
        <v>0</v>
      </c>
      <c r="V262" s="390"/>
      <c r="W262" s="391">
        <v>425</v>
      </c>
      <c r="X262" s="446"/>
      <c r="Y262" s="567">
        <v>9</v>
      </c>
      <c r="Z262" s="189">
        <v>3</v>
      </c>
      <c r="AA262" s="541" t="s">
        <v>1508</v>
      </c>
      <c r="AB262" s="537">
        <v>44162</v>
      </c>
      <c r="AC262" s="537">
        <v>45987</v>
      </c>
      <c r="AD262" s="718" t="s">
        <v>1509</v>
      </c>
      <c r="AE262" s="718" t="s">
        <v>67</v>
      </c>
      <c r="AF262" s="700"/>
      <c r="AG262" s="700"/>
      <c r="AH262" s="547" t="s">
        <v>1436</v>
      </c>
      <c r="AI262" s="691" t="s">
        <v>1437</v>
      </c>
      <c r="AJ262" s="511" t="s">
        <v>279</v>
      </c>
      <c r="AK262" s="568">
        <v>3304990000</v>
      </c>
      <c r="AL262" s="551"/>
      <c r="AM262" s="610" t="s">
        <v>1526</v>
      </c>
      <c r="AN262" s="273" t="s">
        <v>1527</v>
      </c>
      <c r="AO262" s="611" t="s">
        <v>1528</v>
      </c>
      <c r="AP262" s="616" t="s">
        <v>1529</v>
      </c>
      <c r="AQ262" s="617" t="s">
        <v>1530</v>
      </c>
      <c r="AR262" s="619" t="s">
        <v>340</v>
      </c>
      <c r="AS262" s="618"/>
      <c r="AU262" s="525"/>
      <c r="AV262" s="525"/>
      <c r="AW262" s="525"/>
      <c r="AX262" s="526"/>
      <c r="AY262" s="484"/>
      <c r="AZ262" s="525"/>
      <c r="BA262" s="525"/>
      <c r="BB262" s="525"/>
      <c r="BC262" s="189"/>
      <c r="BD262" s="189"/>
      <c r="BE262" s="442"/>
      <c r="BF262" s="451"/>
      <c r="BG262" s="442"/>
      <c r="BH262" s="442"/>
    </row>
    <row r="263" spans="1:60" s="3" customFormat="1" ht="18" customHeight="1">
      <c r="A263" s="116">
        <v>4627101823329</v>
      </c>
      <c r="B263" s="108">
        <v>3464</v>
      </c>
      <c r="C263" s="251" t="s">
        <v>1531</v>
      </c>
      <c r="D263" s="826"/>
      <c r="E263" s="110" t="s">
        <v>287</v>
      </c>
      <c r="F263" s="326"/>
      <c r="G263" s="111"/>
      <c r="H263" s="111"/>
      <c r="I263" s="239"/>
      <c r="J263" s="238">
        <v>240</v>
      </c>
      <c r="K263" s="104">
        <f t="shared" ref="K263:K265" si="160">J263*F263</f>
        <v>0</v>
      </c>
      <c r="L263" s="387">
        <f t="shared" si="154"/>
        <v>252</v>
      </c>
      <c r="M263" s="104">
        <f>F263*L263</f>
        <v>0</v>
      </c>
      <c r="N263" s="387">
        <f t="shared" si="155"/>
        <v>264</v>
      </c>
      <c r="O263" s="104">
        <f>F263*N263</f>
        <v>0</v>
      </c>
      <c r="P263" s="387">
        <f t="shared" si="156"/>
        <v>276</v>
      </c>
      <c r="Q263" s="104">
        <f>F263*P263</f>
        <v>0</v>
      </c>
      <c r="R263" s="387">
        <f t="shared" si="157"/>
        <v>300</v>
      </c>
      <c r="S263" s="104">
        <f>F263*R263</f>
        <v>0</v>
      </c>
      <c r="T263" s="388">
        <v>124</v>
      </c>
      <c r="U263" s="105">
        <f t="shared" si="158"/>
        <v>0</v>
      </c>
      <c r="V263" s="106"/>
      <c r="W263" s="301">
        <v>455</v>
      </c>
      <c r="X263" s="446"/>
      <c r="Y263" s="567">
        <v>9</v>
      </c>
      <c r="Z263" s="189">
        <v>3</v>
      </c>
      <c r="AA263" s="541" t="s">
        <v>1434</v>
      </c>
      <c r="AB263" s="537">
        <v>44193</v>
      </c>
      <c r="AC263" s="537">
        <v>46018</v>
      </c>
      <c r="AD263" s="718" t="s">
        <v>1435</v>
      </c>
      <c r="AE263" s="718" t="s">
        <v>67</v>
      </c>
      <c r="AF263" s="700" t="s">
        <v>1532</v>
      </c>
      <c r="AG263" s="700" t="s">
        <v>465</v>
      </c>
      <c r="AH263" s="547" t="s">
        <v>1436</v>
      </c>
      <c r="AI263" s="691" t="s">
        <v>1437</v>
      </c>
      <c r="AJ263" s="511" t="s">
        <v>279</v>
      </c>
      <c r="AK263" s="568">
        <v>3304990000</v>
      </c>
      <c r="AL263" s="551"/>
      <c r="AM263" s="610" t="s">
        <v>1533</v>
      </c>
      <c r="AN263" s="273" t="s">
        <v>1534</v>
      </c>
      <c r="AO263" s="611" t="s">
        <v>1462</v>
      </c>
      <c r="AP263" s="616" t="s">
        <v>1535</v>
      </c>
      <c r="AQ263" s="627" t="s">
        <v>1536</v>
      </c>
      <c r="AR263" s="619" t="s">
        <v>340</v>
      </c>
      <c r="AS263" s="618"/>
      <c r="AU263" s="511"/>
      <c r="AV263" s="511"/>
      <c r="AW263" s="511"/>
      <c r="AX263" s="512">
        <f t="shared" si="159"/>
        <v>2.8350000000000001E-4</v>
      </c>
      <c r="AY263" s="507" t="e">
        <f>AX263*#REF!</f>
        <v>#REF!</v>
      </c>
      <c r="AZ263" s="511">
        <v>17</v>
      </c>
      <c r="BA263" s="511">
        <v>13</v>
      </c>
      <c r="BB263" s="511">
        <v>21</v>
      </c>
      <c r="BC263" s="189"/>
      <c r="BD263" s="189"/>
      <c r="BE263" s="442" t="s">
        <v>354</v>
      </c>
      <c r="BF263" s="447"/>
      <c r="BG263" s="442" t="s">
        <v>353</v>
      </c>
      <c r="BH263" s="442" t="s">
        <v>354</v>
      </c>
    </row>
    <row r="264" spans="1:60" s="3" customFormat="1" ht="18" customHeight="1">
      <c r="A264" s="116">
        <v>4627101827693</v>
      </c>
      <c r="B264" s="108">
        <v>3465</v>
      </c>
      <c r="C264" s="251" t="s">
        <v>1537</v>
      </c>
      <c r="D264" s="826"/>
      <c r="E264" s="110" t="s">
        <v>287</v>
      </c>
      <c r="F264" s="326"/>
      <c r="G264" s="111"/>
      <c r="H264" s="111"/>
      <c r="I264" s="239"/>
      <c r="J264" s="238">
        <v>225</v>
      </c>
      <c r="K264" s="104">
        <f t="shared" si="160"/>
        <v>0</v>
      </c>
      <c r="L264" s="387">
        <f t="shared" si="154"/>
        <v>236.25</v>
      </c>
      <c r="M264" s="104">
        <f>L264*F264</f>
        <v>0</v>
      </c>
      <c r="N264" s="387">
        <f t="shared" si="155"/>
        <v>247.5</v>
      </c>
      <c r="O264" s="104">
        <f>N264*F264</f>
        <v>0</v>
      </c>
      <c r="P264" s="387">
        <f t="shared" si="156"/>
        <v>258.75</v>
      </c>
      <c r="Q264" s="104">
        <f>P264*F264</f>
        <v>0</v>
      </c>
      <c r="R264" s="387">
        <f t="shared" si="157"/>
        <v>281.25</v>
      </c>
      <c r="S264" s="104">
        <f>R264*F264</f>
        <v>0</v>
      </c>
      <c r="T264" s="388">
        <v>124</v>
      </c>
      <c r="U264" s="105">
        <f t="shared" si="158"/>
        <v>0</v>
      </c>
      <c r="V264" s="106"/>
      <c r="W264" s="301">
        <v>425</v>
      </c>
      <c r="X264" s="446"/>
      <c r="Y264" s="567">
        <v>9</v>
      </c>
      <c r="Z264" s="189">
        <v>3</v>
      </c>
      <c r="AA264" s="541" t="s">
        <v>1508</v>
      </c>
      <c r="AB264" s="537">
        <v>44162</v>
      </c>
      <c r="AC264" s="537">
        <v>45987</v>
      </c>
      <c r="AD264" s="718" t="s">
        <v>1509</v>
      </c>
      <c r="AE264" s="718" t="s">
        <v>67</v>
      </c>
      <c r="AF264" s="700"/>
      <c r="AG264" s="700"/>
      <c r="AH264" s="547" t="s">
        <v>1436</v>
      </c>
      <c r="AI264" s="691" t="s">
        <v>1437</v>
      </c>
      <c r="AJ264" s="511" t="s">
        <v>279</v>
      </c>
      <c r="AK264" s="568">
        <v>3304990000</v>
      </c>
      <c r="AL264" s="551"/>
      <c r="AM264" s="610" t="s">
        <v>1538</v>
      </c>
      <c r="AN264" s="273" t="s">
        <v>1539</v>
      </c>
      <c r="AO264" s="611" t="s">
        <v>1462</v>
      </c>
      <c r="AP264" s="616" t="s">
        <v>1540</v>
      </c>
      <c r="AQ264" s="627" t="s">
        <v>1541</v>
      </c>
      <c r="AR264" s="619" t="s">
        <v>340</v>
      </c>
      <c r="AS264" s="618"/>
      <c r="AU264" s="511"/>
      <c r="AV264" s="511"/>
      <c r="AW264" s="511"/>
      <c r="AX264" s="512">
        <f t="shared" si="159"/>
        <v>2.8350000000000001E-4</v>
      </c>
      <c r="AY264" s="507" t="e">
        <f>AX264*#REF!</f>
        <v>#REF!</v>
      </c>
      <c r="AZ264" s="511">
        <v>17</v>
      </c>
      <c r="BA264" s="511">
        <v>13</v>
      </c>
      <c r="BB264" s="511">
        <v>21</v>
      </c>
      <c r="BC264" s="189"/>
      <c r="BD264" s="189"/>
      <c r="BE264" s="442" t="s">
        <v>354</v>
      </c>
      <c r="BF264" s="447"/>
      <c r="BG264" s="442" t="s">
        <v>353</v>
      </c>
      <c r="BH264" s="442" t="s">
        <v>354</v>
      </c>
    </row>
    <row r="265" spans="1:60" s="3" customFormat="1" ht="19.5" customHeight="1">
      <c r="A265" s="331">
        <v>4627101823558</v>
      </c>
      <c r="B265" s="108">
        <v>3466</v>
      </c>
      <c r="C265" s="251" t="s">
        <v>1542</v>
      </c>
      <c r="D265" s="826"/>
      <c r="E265" s="110" t="s">
        <v>287</v>
      </c>
      <c r="F265" s="326"/>
      <c r="G265" s="111"/>
      <c r="H265" s="111"/>
      <c r="I265" s="239"/>
      <c r="J265" s="238">
        <v>225</v>
      </c>
      <c r="K265" s="104">
        <f t="shared" si="160"/>
        <v>0</v>
      </c>
      <c r="L265" s="387">
        <f t="shared" si="154"/>
        <v>236.25</v>
      </c>
      <c r="M265" s="104">
        <f>F265*L265</f>
        <v>0</v>
      </c>
      <c r="N265" s="387">
        <f t="shared" si="155"/>
        <v>247.5</v>
      </c>
      <c r="O265" s="104">
        <f>F265*N265</f>
        <v>0</v>
      </c>
      <c r="P265" s="387">
        <f t="shared" si="156"/>
        <v>258.75</v>
      </c>
      <c r="Q265" s="104">
        <f>F265*P265</f>
        <v>0</v>
      </c>
      <c r="R265" s="387">
        <f t="shared" si="157"/>
        <v>281.25</v>
      </c>
      <c r="S265" s="104">
        <f>F265*R265</f>
        <v>0</v>
      </c>
      <c r="T265" s="388">
        <v>124</v>
      </c>
      <c r="U265" s="105">
        <f t="shared" si="158"/>
        <v>0</v>
      </c>
      <c r="V265" s="106"/>
      <c r="W265" s="301">
        <v>425</v>
      </c>
      <c r="X265" s="446"/>
      <c r="Y265" s="575">
        <v>6</v>
      </c>
      <c r="Z265" s="189">
        <v>3</v>
      </c>
      <c r="AA265" s="541" t="s">
        <v>1434</v>
      </c>
      <c r="AB265" s="537">
        <v>44193</v>
      </c>
      <c r="AC265" s="537">
        <v>46018</v>
      </c>
      <c r="AD265" s="718" t="s">
        <v>1435</v>
      </c>
      <c r="AE265" s="718" t="s">
        <v>67</v>
      </c>
      <c r="AF265" s="700"/>
      <c r="AG265" s="700"/>
      <c r="AH265" s="547" t="s">
        <v>1436</v>
      </c>
      <c r="AI265" s="691" t="s">
        <v>1437</v>
      </c>
      <c r="AJ265" s="511" t="s">
        <v>279</v>
      </c>
      <c r="AK265" s="568">
        <v>3304990000</v>
      </c>
      <c r="AL265" s="551"/>
      <c r="AM265" s="610" t="s">
        <v>1543</v>
      </c>
      <c r="AN265" s="273" t="s">
        <v>1544</v>
      </c>
      <c r="AO265" s="611" t="s">
        <v>1462</v>
      </c>
      <c r="AP265" s="616" t="s">
        <v>1545</v>
      </c>
      <c r="AQ265" s="627" t="s">
        <v>1546</v>
      </c>
      <c r="AR265" s="619" t="s">
        <v>340</v>
      </c>
      <c r="AS265" s="618"/>
      <c r="AU265" s="511"/>
      <c r="AV265" s="511"/>
      <c r="AW265" s="511"/>
      <c r="AX265" s="512">
        <f t="shared" si="159"/>
        <v>2.8350000000000001E-4</v>
      </c>
      <c r="AY265" s="507" t="e">
        <f>AX265*#REF!</f>
        <v>#REF!</v>
      </c>
      <c r="AZ265" s="511">
        <v>17</v>
      </c>
      <c r="BA265" s="511">
        <v>13</v>
      </c>
      <c r="BB265" s="511">
        <v>21</v>
      </c>
      <c r="BC265" s="189"/>
      <c r="BD265" s="189"/>
      <c r="BE265" s="442" t="s">
        <v>354</v>
      </c>
      <c r="BF265" s="447"/>
      <c r="BG265" s="442" t="s">
        <v>353</v>
      </c>
      <c r="BH265" s="442" t="s">
        <v>354</v>
      </c>
    </row>
    <row r="266" spans="1:60" ht="25.5" customHeight="1">
      <c r="A266" s="485" t="s">
        <v>156</v>
      </c>
      <c r="B266" s="333"/>
      <c r="C266" s="271" t="s">
        <v>1547</v>
      </c>
      <c r="D266" s="827"/>
      <c r="E266" s="270"/>
      <c r="F266" s="491"/>
      <c r="G266" s="289"/>
      <c r="H266" s="289"/>
      <c r="I266" s="356"/>
      <c r="J266" s="357"/>
      <c r="K266" s="488">
        <f>SUM(K267:K268)</f>
        <v>0</v>
      </c>
      <c r="L266" s="489"/>
      <c r="M266" s="488">
        <f>SUM(M267:M268)</f>
        <v>0</v>
      </c>
      <c r="N266" s="489"/>
      <c r="O266" s="488">
        <f>SUM(O267:O268)</f>
        <v>0</v>
      </c>
      <c r="P266" s="489"/>
      <c r="Q266" s="488">
        <f>SUM(Q267:Q268)</f>
        <v>0</v>
      </c>
      <c r="R266" s="489"/>
      <c r="S266" s="488">
        <f>SUM(S267:S268)</f>
        <v>0</v>
      </c>
      <c r="T266" s="313"/>
      <c r="U266" s="313">
        <f>SUM(U267:U268)</f>
        <v>0</v>
      </c>
      <c r="V266" s="293"/>
      <c r="W266" s="293"/>
      <c r="Y266" s="562"/>
      <c r="Z266" s="293"/>
      <c r="AA266" s="772"/>
      <c r="AB266" s="543"/>
      <c r="AC266" s="543"/>
      <c r="AD266" s="716"/>
      <c r="AE266" s="716"/>
      <c r="AF266" s="701"/>
      <c r="AG266" s="701"/>
      <c r="AH266" s="546"/>
      <c r="AI266" s="675"/>
      <c r="AJ266" s="293"/>
      <c r="AK266" s="563"/>
      <c r="AL266" s="554"/>
      <c r="AM266" s="562"/>
      <c r="AN266" s="293"/>
      <c r="AO266" s="293"/>
      <c r="AP266" s="293"/>
      <c r="AQ266" s="293"/>
      <c r="AR266" s="293"/>
      <c r="AS266" s="563"/>
      <c r="AU266" s="293"/>
      <c r="AV266" s="293"/>
      <c r="AW266" s="293"/>
      <c r="AX266" s="293"/>
      <c r="AY266" s="293"/>
      <c r="AZ266" s="293"/>
      <c r="BA266" s="293"/>
      <c r="BB266" s="293"/>
      <c r="BC266" s="293"/>
      <c r="BD266" s="293"/>
      <c r="BF266" s="445"/>
    </row>
    <row r="267" spans="1:60" ht="21.75" customHeight="1">
      <c r="A267" s="116">
        <v>4620748861976</v>
      </c>
      <c r="B267" s="100">
        <v>1158</v>
      </c>
      <c r="C267" s="251" t="s">
        <v>1548</v>
      </c>
      <c r="D267" s="826"/>
      <c r="E267" s="110" t="s">
        <v>510</v>
      </c>
      <c r="F267" s="392"/>
      <c r="G267" s="190"/>
      <c r="H267" s="190"/>
      <c r="I267" s="239"/>
      <c r="J267" s="238">
        <v>175</v>
      </c>
      <c r="K267" s="104">
        <f>F267*J267</f>
        <v>0</v>
      </c>
      <c r="L267" s="238">
        <f t="shared" ref="L267:L268" si="161">J267+J267*5%</f>
        <v>183.75</v>
      </c>
      <c r="M267" s="104">
        <f>L267*F267</f>
        <v>0</v>
      </c>
      <c r="N267" s="238">
        <f t="shared" ref="N267:N268" si="162">J267+J267*10%</f>
        <v>192.5</v>
      </c>
      <c r="O267" s="104">
        <f>N267*F267</f>
        <v>0</v>
      </c>
      <c r="P267" s="238">
        <f t="shared" ref="P267:P268" si="163">J267+J267*15%</f>
        <v>201.25</v>
      </c>
      <c r="Q267" s="104">
        <f>P267*F267</f>
        <v>0</v>
      </c>
      <c r="R267" s="238">
        <f t="shared" ref="R267:R268" si="164">J267+J267*25%</f>
        <v>218.75</v>
      </c>
      <c r="S267" s="104">
        <f>R267*F267</f>
        <v>0</v>
      </c>
      <c r="T267" s="105">
        <v>23</v>
      </c>
      <c r="U267" s="105"/>
      <c r="V267" s="106"/>
      <c r="W267" s="301">
        <v>330</v>
      </c>
      <c r="Y267" s="567">
        <v>9</v>
      </c>
      <c r="Z267" s="189"/>
      <c r="AA267" s="541" t="s">
        <v>603</v>
      </c>
      <c r="AB267" s="537">
        <v>43894</v>
      </c>
      <c r="AC267" s="537">
        <v>45719</v>
      </c>
      <c r="AD267" s="768" t="s">
        <v>604</v>
      </c>
      <c r="AE267" s="718" t="s">
        <v>67</v>
      </c>
      <c r="AF267" s="700"/>
      <c r="AG267" s="700"/>
      <c r="AH267" s="547" t="s">
        <v>605</v>
      </c>
      <c r="AI267" s="478"/>
      <c r="AJ267" s="189"/>
      <c r="AK267" s="568">
        <v>3304100000</v>
      </c>
      <c r="AM267" s="610" t="s">
        <v>1549</v>
      </c>
      <c r="AN267" s="611" t="s">
        <v>1550</v>
      </c>
      <c r="AO267" s="629" t="s">
        <v>1551</v>
      </c>
      <c r="AP267" s="616" t="s">
        <v>1552</v>
      </c>
      <c r="AQ267" s="609" t="s">
        <v>1553</v>
      </c>
      <c r="AR267" s="621"/>
      <c r="AS267" s="618"/>
      <c r="AU267" s="189"/>
      <c r="AV267" s="189"/>
      <c r="AW267" s="189"/>
      <c r="AX267" s="522"/>
      <c r="AY267" s="507"/>
      <c r="AZ267" s="189"/>
      <c r="BA267" s="189"/>
      <c r="BB267" s="189"/>
      <c r="BC267" s="517"/>
      <c r="BD267" s="189"/>
      <c r="BF267" s="445"/>
    </row>
    <row r="268" spans="1:60" ht="22.5" customHeight="1">
      <c r="A268" s="116">
        <v>4620748861952</v>
      </c>
      <c r="B268" s="100">
        <v>1159</v>
      </c>
      <c r="C268" s="251" t="s">
        <v>1554</v>
      </c>
      <c r="D268" s="826"/>
      <c r="E268" s="110" t="s">
        <v>510</v>
      </c>
      <c r="F268" s="392"/>
      <c r="G268" s="190"/>
      <c r="H268" s="190"/>
      <c r="I268" s="239"/>
      <c r="J268" s="238">
        <v>190</v>
      </c>
      <c r="K268" s="104">
        <f>J268*F268</f>
        <v>0</v>
      </c>
      <c r="L268" s="238">
        <f t="shared" si="161"/>
        <v>199.5</v>
      </c>
      <c r="M268" s="104">
        <f>F268*L268</f>
        <v>0</v>
      </c>
      <c r="N268" s="238">
        <f t="shared" si="162"/>
        <v>209</v>
      </c>
      <c r="O268" s="104">
        <f>F268*N268</f>
        <v>0</v>
      </c>
      <c r="P268" s="238">
        <f t="shared" si="163"/>
        <v>218.5</v>
      </c>
      <c r="Q268" s="104">
        <f>F268*P268</f>
        <v>0</v>
      </c>
      <c r="R268" s="238">
        <f t="shared" si="164"/>
        <v>237.5</v>
      </c>
      <c r="S268" s="104">
        <f>F268*R268</f>
        <v>0</v>
      </c>
      <c r="T268" s="105">
        <v>23</v>
      </c>
      <c r="U268" s="105">
        <f>T268*F268</f>
        <v>0</v>
      </c>
      <c r="V268" s="106"/>
      <c r="W268" s="301">
        <v>360</v>
      </c>
      <c r="Y268" s="567">
        <v>9</v>
      </c>
      <c r="Z268" s="189">
        <v>3</v>
      </c>
      <c r="AA268" s="541" t="s">
        <v>603</v>
      </c>
      <c r="AB268" s="537">
        <v>43894</v>
      </c>
      <c r="AC268" s="537">
        <v>45719</v>
      </c>
      <c r="AD268" s="768" t="s">
        <v>604</v>
      </c>
      <c r="AE268" s="718" t="s">
        <v>67</v>
      </c>
      <c r="AF268" s="700"/>
      <c r="AG268" s="700"/>
      <c r="AH268" s="547" t="s">
        <v>605</v>
      </c>
      <c r="AI268" s="478"/>
      <c r="AJ268" s="189"/>
      <c r="AK268" s="568">
        <v>3304100000</v>
      </c>
      <c r="AM268" s="610" t="s">
        <v>1555</v>
      </c>
      <c r="AN268" s="611" t="s">
        <v>1556</v>
      </c>
      <c r="AO268" s="629" t="s">
        <v>1551</v>
      </c>
      <c r="AP268" s="616" t="s">
        <v>1557</v>
      </c>
      <c r="AQ268" s="609" t="s">
        <v>1558</v>
      </c>
      <c r="AR268" s="621"/>
      <c r="AS268" s="618"/>
      <c r="AU268" s="189"/>
      <c r="AV268" s="189"/>
      <c r="AW268" s="189"/>
      <c r="AX268" s="522">
        <f>62*65*19/1000000000</f>
        <v>7.6569999999999994E-5</v>
      </c>
      <c r="AY268" s="507" t="e">
        <f>AX268*#REF!</f>
        <v>#REF!</v>
      </c>
      <c r="AZ268" s="189"/>
      <c r="BA268" s="189"/>
      <c r="BB268" s="189"/>
      <c r="BC268" s="517"/>
      <c r="BD268" s="189"/>
      <c r="BF268" s="445"/>
    </row>
    <row r="269" spans="1:60" ht="24" customHeight="1">
      <c r="A269" s="485" t="s">
        <v>156</v>
      </c>
      <c r="B269" s="274"/>
      <c r="C269" s="271" t="s">
        <v>1559</v>
      </c>
      <c r="D269" s="827"/>
      <c r="E269" s="270"/>
      <c r="F269" s="491"/>
      <c r="G269" s="289"/>
      <c r="H269" s="289"/>
      <c r="I269" s="356"/>
      <c r="J269" s="357"/>
      <c r="K269" s="488">
        <f>SUM(K270:K275)</f>
        <v>0</v>
      </c>
      <c r="L269" s="489"/>
      <c r="M269" s="488">
        <f>SUM(M270:M275)</f>
        <v>0</v>
      </c>
      <c r="N269" s="489"/>
      <c r="O269" s="488">
        <f>SUM(O270:O275)</f>
        <v>0</v>
      </c>
      <c r="P269" s="489"/>
      <c r="Q269" s="488">
        <f>SUM(Q270:Q275)</f>
        <v>0</v>
      </c>
      <c r="R269" s="489"/>
      <c r="S269" s="488">
        <f>SUM(S270:S275)</f>
        <v>0</v>
      </c>
      <c r="T269" s="313"/>
      <c r="U269" s="313">
        <f>SUM(U270:U275)</f>
        <v>0</v>
      </c>
      <c r="V269" s="293"/>
      <c r="W269" s="293"/>
      <c r="Y269" s="562"/>
      <c r="Z269" s="293"/>
      <c r="AA269" s="772"/>
      <c r="AB269" s="543"/>
      <c r="AC269" s="543"/>
      <c r="AD269" s="716"/>
      <c r="AE269" s="716"/>
      <c r="AF269" s="701"/>
      <c r="AG269" s="701"/>
      <c r="AH269" s="546"/>
      <c r="AI269" s="675"/>
      <c r="AJ269" s="293"/>
      <c r="AK269" s="563"/>
      <c r="AL269" s="554"/>
      <c r="AM269" s="562"/>
      <c r="AN269" s="293"/>
      <c r="AO269" s="293"/>
      <c r="AP269" s="293"/>
      <c r="AQ269" s="293"/>
      <c r="AR269" s="293"/>
      <c r="AS269" s="563"/>
      <c r="AU269" s="293"/>
      <c r="AV269" s="293"/>
      <c r="AW269" s="293"/>
      <c r="AX269" s="293"/>
      <c r="AY269" s="293"/>
      <c r="AZ269" s="293"/>
      <c r="BA269" s="293"/>
      <c r="BB269" s="293"/>
      <c r="BC269" s="293"/>
      <c r="BD269" s="293"/>
      <c r="BF269" s="445"/>
    </row>
    <row r="270" spans="1:60" ht="21.75" customHeight="1">
      <c r="A270" s="116">
        <v>4620748861105</v>
      </c>
      <c r="B270" s="100">
        <v>1654</v>
      </c>
      <c r="C270" s="251" t="s">
        <v>1560</v>
      </c>
      <c r="D270" s="826"/>
      <c r="E270" s="110" t="s">
        <v>1561</v>
      </c>
      <c r="F270" s="248"/>
      <c r="G270" s="190"/>
      <c r="H270" s="190"/>
      <c r="I270" s="239"/>
      <c r="J270" s="238">
        <v>125</v>
      </c>
      <c r="K270" s="104">
        <f t="shared" ref="K270:K275" si="165">J270*F270</f>
        <v>0</v>
      </c>
      <c r="L270" s="238">
        <f>J270+J270*5%</f>
        <v>131.25</v>
      </c>
      <c r="M270" s="104">
        <f t="shared" ref="M270:M275" si="166">F270*L270</f>
        <v>0</v>
      </c>
      <c r="N270" s="238">
        <f>J270+J270*10%</f>
        <v>137.5</v>
      </c>
      <c r="O270" s="104">
        <f t="shared" ref="O270:O275" si="167">F270*N270</f>
        <v>0</v>
      </c>
      <c r="P270" s="238">
        <f>J270+J270*15%</f>
        <v>143.75</v>
      </c>
      <c r="Q270" s="104">
        <f t="shared" ref="Q270:Q275" si="168">F270*P270</f>
        <v>0</v>
      </c>
      <c r="R270" s="238">
        <f>J270+J270*25%</f>
        <v>156.25</v>
      </c>
      <c r="S270" s="104">
        <f t="shared" ref="S270:S275" si="169">F270*R270</f>
        <v>0</v>
      </c>
      <c r="T270" s="105">
        <v>23</v>
      </c>
      <c r="U270" s="105">
        <f t="shared" ref="U270:U275" si="170">T270*F270</f>
        <v>0</v>
      </c>
      <c r="V270" s="106"/>
      <c r="W270" s="301">
        <v>235</v>
      </c>
      <c r="Y270" s="567">
        <v>9</v>
      </c>
      <c r="Z270" s="189">
        <v>3</v>
      </c>
      <c r="AA270" s="541" t="s">
        <v>1562</v>
      </c>
      <c r="AB270" s="537">
        <v>43889</v>
      </c>
      <c r="AC270" s="537">
        <v>45715</v>
      </c>
      <c r="AD270" s="768" t="s">
        <v>1563</v>
      </c>
      <c r="AE270" s="718" t="s">
        <v>67</v>
      </c>
      <c r="AF270" s="700"/>
      <c r="AG270" s="700"/>
      <c r="AH270" s="547" t="s">
        <v>1564</v>
      </c>
      <c r="AI270" s="478"/>
      <c r="AJ270" s="189"/>
      <c r="AK270" s="568">
        <v>3304990000</v>
      </c>
      <c r="AM270" s="610" t="s">
        <v>1565</v>
      </c>
      <c r="AN270" s="611" t="s">
        <v>1566</v>
      </c>
      <c r="AO270" s="611" t="s">
        <v>1567</v>
      </c>
      <c r="AP270" s="616" t="s">
        <v>1568</v>
      </c>
      <c r="AQ270" s="637" t="s">
        <v>1569</v>
      </c>
      <c r="AR270" s="621"/>
      <c r="AS270" s="618"/>
      <c r="AU270" s="189"/>
      <c r="AV270" s="189"/>
      <c r="AW270" s="189"/>
      <c r="AX270" s="521">
        <f t="shared" ref="AX270:AX275" si="171">44*87*26/1000000000</f>
        <v>9.9528E-5</v>
      </c>
      <c r="AY270" s="507"/>
      <c r="AZ270" s="189"/>
      <c r="BA270" s="189"/>
      <c r="BB270" s="189"/>
      <c r="BC270" s="517"/>
      <c r="BD270" s="189"/>
      <c r="BF270" s="445"/>
    </row>
    <row r="271" spans="1:60" ht="23.25" customHeight="1">
      <c r="A271" s="116">
        <v>4620748861112</v>
      </c>
      <c r="B271" s="100">
        <v>1655</v>
      </c>
      <c r="C271" s="251" t="s">
        <v>1570</v>
      </c>
      <c r="D271" s="826"/>
      <c r="E271" s="110" t="s">
        <v>1561</v>
      </c>
      <c r="F271" s="248"/>
      <c r="G271" s="190"/>
      <c r="H271" s="190"/>
      <c r="I271" s="239"/>
      <c r="J271" s="238">
        <v>125</v>
      </c>
      <c r="K271" s="104">
        <f t="shared" si="165"/>
        <v>0</v>
      </c>
      <c r="L271" s="238">
        <f t="shared" ref="L271:L275" si="172">J271+J271*5%</f>
        <v>131.25</v>
      </c>
      <c r="M271" s="104">
        <f t="shared" si="166"/>
        <v>0</v>
      </c>
      <c r="N271" s="238">
        <f t="shared" ref="N271:N275" si="173">J271+J271*10%</f>
        <v>137.5</v>
      </c>
      <c r="O271" s="104">
        <f t="shared" si="167"/>
        <v>0</v>
      </c>
      <c r="P271" s="238">
        <f t="shared" ref="P271:P275" si="174">J271+J271*15%</f>
        <v>143.75</v>
      </c>
      <c r="Q271" s="104">
        <f t="shared" si="168"/>
        <v>0</v>
      </c>
      <c r="R271" s="238">
        <f t="shared" ref="R271:R275" si="175">J271+J271*25%</f>
        <v>156.25</v>
      </c>
      <c r="S271" s="104">
        <f t="shared" si="169"/>
        <v>0</v>
      </c>
      <c r="T271" s="105">
        <v>23</v>
      </c>
      <c r="U271" s="105">
        <f t="shared" si="170"/>
        <v>0</v>
      </c>
      <c r="V271" s="106"/>
      <c r="W271" s="301">
        <v>235</v>
      </c>
      <c r="Y271" s="567">
        <v>9</v>
      </c>
      <c r="Z271" s="189">
        <v>3</v>
      </c>
      <c r="AA271" s="541" t="s">
        <v>1562</v>
      </c>
      <c r="AB271" s="537">
        <v>43889</v>
      </c>
      <c r="AC271" s="537">
        <v>45715</v>
      </c>
      <c r="AD271" s="768" t="s">
        <v>1563</v>
      </c>
      <c r="AE271" s="718" t="s">
        <v>67</v>
      </c>
      <c r="AF271" s="700"/>
      <c r="AG271" s="700"/>
      <c r="AH271" s="547" t="s">
        <v>1564</v>
      </c>
      <c r="AI271" s="478"/>
      <c r="AJ271" s="189"/>
      <c r="AK271" s="568">
        <v>3304990000</v>
      </c>
      <c r="AM271" s="610" t="s">
        <v>1571</v>
      </c>
      <c r="AN271" s="611" t="s">
        <v>1572</v>
      </c>
      <c r="AO271" s="611" t="s">
        <v>1573</v>
      </c>
      <c r="AP271" s="616" t="s">
        <v>1574</v>
      </c>
      <c r="AQ271" s="637" t="s">
        <v>1575</v>
      </c>
      <c r="AR271" s="621"/>
      <c r="AS271" s="618"/>
      <c r="AU271" s="189"/>
      <c r="AV271" s="189"/>
      <c r="AW271" s="189"/>
      <c r="AX271" s="521">
        <f t="shared" si="171"/>
        <v>9.9528E-5</v>
      </c>
      <c r="AY271" s="507"/>
      <c r="AZ271" s="189"/>
      <c r="BA271" s="189"/>
      <c r="BB271" s="189"/>
      <c r="BC271" s="517"/>
      <c r="BD271" s="189"/>
      <c r="BF271" s="445"/>
    </row>
    <row r="272" spans="1:60" ht="23.25" customHeight="1">
      <c r="A272" s="116">
        <v>4620748861082</v>
      </c>
      <c r="B272" s="100">
        <v>1656</v>
      </c>
      <c r="C272" s="251" t="s">
        <v>1576</v>
      </c>
      <c r="D272" s="826"/>
      <c r="E272" s="110" t="s">
        <v>1561</v>
      </c>
      <c r="F272" s="248"/>
      <c r="G272" s="190"/>
      <c r="H272" s="190"/>
      <c r="I272" s="239"/>
      <c r="J272" s="238">
        <v>125</v>
      </c>
      <c r="K272" s="104">
        <f t="shared" si="165"/>
        <v>0</v>
      </c>
      <c r="L272" s="238">
        <f t="shared" si="172"/>
        <v>131.25</v>
      </c>
      <c r="M272" s="104">
        <f t="shared" si="166"/>
        <v>0</v>
      </c>
      <c r="N272" s="238">
        <f t="shared" si="173"/>
        <v>137.5</v>
      </c>
      <c r="O272" s="104">
        <f t="shared" si="167"/>
        <v>0</v>
      </c>
      <c r="P272" s="238">
        <f t="shared" si="174"/>
        <v>143.75</v>
      </c>
      <c r="Q272" s="104">
        <f t="shared" si="168"/>
        <v>0</v>
      </c>
      <c r="R272" s="238">
        <f t="shared" si="175"/>
        <v>156.25</v>
      </c>
      <c r="S272" s="104">
        <f t="shared" si="169"/>
        <v>0</v>
      </c>
      <c r="T272" s="105">
        <v>23</v>
      </c>
      <c r="U272" s="105">
        <f t="shared" si="170"/>
        <v>0</v>
      </c>
      <c r="V272" s="106"/>
      <c r="W272" s="301">
        <v>235</v>
      </c>
      <c r="Y272" s="567">
        <v>9</v>
      </c>
      <c r="Z272" s="189">
        <v>3</v>
      </c>
      <c r="AA272" s="541" t="s">
        <v>1562</v>
      </c>
      <c r="AB272" s="537">
        <v>43889</v>
      </c>
      <c r="AC272" s="537">
        <v>45715</v>
      </c>
      <c r="AD272" s="768" t="s">
        <v>1563</v>
      </c>
      <c r="AE272" s="718" t="s">
        <v>67</v>
      </c>
      <c r="AF272" s="700"/>
      <c r="AG272" s="700"/>
      <c r="AH272" s="547" t="s">
        <v>1564</v>
      </c>
      <c r="AI272" s="478"/>
      <c r="AJ272" s="189"/>
      <c r="AK272" s="568">
        <v>3304990000</v>
      </c>
      <c r="AM272" s="610" t="s">
        <v>1577</v>
      </c>
      <c r="AN272" s="611" t="s">
        <v>1578</v>
      </c>
      <c r="AO272" s="611" t="s">
        <v>1567</v>
      </c>
      <c r="AP272" s="616" t="s">
        <v>1579</v>
      </c>
      <c r="AQ272" s="637" t="s">
        <v>1580</v>
      </c>
      <c r="AR272" s="621"/>
      <c r="AS272" s="618"/>
      <c r="AU272" s="189"/>
      <c r="AV272" s="189"/>
      <c r="AW272" s="189"/>
      <c r="AX272" s="521">
        <f t="shared" si="171"/>
        <v>9.9528E-5</v>
      </c>
      <c r="AY272" s="507"/>
      <c r="AZ272" s="189"/>
      <c r="BA272" s="189"/>
      <c r="BB272" s="189"/>
      <c r="BC272" s="517"/>
      <c r="BD272" s="189"/>
      <c r="BF272" s="445"/>
    </row>
    <row r="273" spans="1:62" ht="23.25" customHeight="1">
      <c r="A273" s="116">
        <v>4620748861129</v>
      </c>
      <c r="B273" s="100">
        <v>1659</v>
      </c>
      <c r="C273" s="251" t="s">
        <v>1581</v>
      </c>
      <c r="D273" s="826"/>
      <c r="E273" s="110" t="s">
        <v>1561</v>
      </c>
      <c r="F273" s="248"/>
      <c r="G273" s="190"/>
      <c r="H273" s="190"/>
      <c r="I273" s="239"/>
      <c r="J273" s="238">
        <v>125</v>
      </c>
      <c r="K273" s="104">
        <f t="shared" si="165"/>
        <v>0</v>
      </c>
      <c r="L273" s="238">
        <f t="shared" si="172"/>
        <v>131.25</v>
      </c>
      <c r="M273" s="104">
        <f t="shared" si="166"/>
        <v>0</v>
      </c>
      <c r="N273" s="238">
        <f t="shared" si="173"/>
        <v>137.5</v>
      </c>
      <c r="O273" s="104">
        <f t="shared" si="167"/>
        <v>0</v>
      </c>
      <c r="P273" s="238">
        <f t="shared" si="174"/>
        <v>143.75</v>
      </c>
      <c r="Q273" s="104">
        <f t="shared" si="168"/>
        <v>0</v>
      </c>
      <c r="R273" s="238">
        <f t="shared" si="175"/>
        <v>156.25</v>
      </c>
      <c r="S273" s="104">
        <f t="shared" si="169"/>
        <v>0</v>
      </c>
      <c r="T273" s="105">
        <v>23</v>
      </c>
      <c r="U273" s="105">
        <f t="shared" si="170"/>
        <v>0</v>
      </c>
      <c r="V273" s="106"/>
      <c r="W273" s="301">
        <v>235</v>
      </c>
      <c r="Y273" s="567">
        <v>9</v>
      </c>
      <c r="Z273" s="189">
        <v>3</v>
      </c>
      <c r="AA273" s="541" t="s">
        <v>1562</v>
      </c>
      <c r="AB273" s="537">
        <v>43889</v>
      </c>
      <c r="AC273" s="537">
        <v>45715</v>
      </c>
      <c r="AD273" s="768" t="s">
        <v>1563</v>
      </c>
      <c r="AE273" s="718" t="s">
        <v>67</v>
      </c>
      <c r="AF273" s="700"/>
      <c r="AG273" s="700"/>
      <c r="AH273" s="547" t="s">
        <v>1564</v>
      </c>
      <c r="AI273" s="478"/>
      <c r="AJ273" s="189"/>
      <c r="AK273" s="568">
        <v>3304990000</v>
      </c>
      <c r="AM273" s="610" t="s">
        <v>1582</v>
      </c>
      <c r="AN273" s="611" t="s">
        <v>1583</v>
      </c>
      <c r="AO273" s="611" t="s">
        <v>1567</v>
      </c>
      <c r="AP273" s="616" t="s">
        <v>1584</v>
      </c>
      <c r="AQ273" s="637" t="s">
        <v>1585</v>
      </c>
      <c r="AR273" s="621"/>
      <c r="AS273" s="618"/>
      <c r="AU273" s="189"/>
      <c r="AV273" s="189"/>
      <c r="AW273" s="189"/>
      <c r="AX273" s="521">
        <f t="shared" si="171"/>
        <v>9.9528E-5</v>
      </c>
      <c r="AY273" s="507"/>
      <c r="AZ273" s="189"/>
      <c r="BA273" s="189"/>
      <c r="BB273" s="189"/>
      <c r="BC273" s="517"/>
      <c r="BD273" s="189"/>
      <c r="BF273" s="445"/>
    </row>
    <row r="274" spans="1:62" ht="23.25" customHeight="1">
      <c r="A274" s="116">
        <v>4620748860825</v>
      </c>
      <c r="B274" s="100">
        <v>1660</v>
      </c>
      <c r="C274" s="251" t="s">
        <v>1586</v>
      </c>
      <c r="D274" s="826"/>
      <c r="E274" s="110" t="s">
        <v>1561</v>
      </c>
      <c r="F274" s="248"/>
      <c r="G274" s="190"/>
      <c r="H274" s="190"/>
      <c r="I274" s="239"/>
      <c r="J274" s="238">
        <v>125</v>
      </c>
      <c r="K274" s="104">
        <f t="shared" si="165"/>
        <v>0</v>
      </c>
      <c r="L274" s="238">
        <f t="shared" si="172"/>
        <v>131.25</v>
      </c>
      <c r="M274" s="104">
        <f t="shared" si="166"/>
        <v>0</v>
      </c>
      <c r="N274" s="238">
        <f t="shared" si="173"/>
        <v>137.5</v>
      </c>
      <c r="O274" s="104">
        <f t="shared" si="167"/>
        <v>0</v>
      </c>
      <c r="P274" s="238">
        <f t="shared" si="174"/>
        <v>143.75</v>
      </c>
      <c r="Q274" s="104">
        <f t="shared" si="168"/>
        <v>0</v>
      </c>
      <c r="R274" s="238">
        <f t="shared" si="175"/>
        <v>156.25</v>
      </c>
      <c r="S274" s="104">
        <f t="shared" si="169"/>
        <v>0</v>
      </c>
      <c r="T274" s="105">
        <v>23</v>
      </c>
      <c r="U274" s="105">
        <f t="shared" si="170"/>
        <v>0</v>
      </c>
      <c r="V274" s="106"/>
      <c r="W274" s="301">
        <v>235</v>
      </c>
      <c r="Y274" s="567">
        <v>9</v>
      </c>
      <c r="Z274" s="189">
        <v>3</v>
      </c>
      <c r="AA274" s="541" t="s">
        <v>1562</v>
      </c>
      <c r="AB274" s="537">
        <v>43889</v>
      </c>
      <c r="AC274" s="537">
        <v>45715</v>
      </c>
      <c r="AD274" s="768" t="s">
        <v>1563</v>
      </c>
      <c r="AE274" s="718" t="s">
        <v>67</v>
      </c>
      <c r="AF274" s="700"/>
      <c r="AG274" s="700"/>
      <c r="AH274" s="547" t="s">
        <v>1564</v>
      </c>
      <c r="AI274" s="478"/>
      <c r="AJ274" s="189"/>
      <c r="AK274" s="568">
        <v>3304990000</v>
      </c>
      <c r="AM274" s="610" t="s">
        <v>1587</v>
      </c>
      <c r="AN274" s="611" t="s">
        <v>1588</v>
      </c>
      <c r="AO274" s="611" t="s">
        <v>1567</v>
      </c>
      <c r="AP274" s="616" t="s">
        <v>1589</v>
      </c>
      <c r="AQ274" s="637" t="s">
        <v>1590</v>
      </c>
      <c r="AR274" s="621"/>
      <c r="AS274" s="618"/>
      <c r="AU274" s="189"/>
      <c r="AV274" s="189"/>
      <c r="AW274" s="189"/>
      <c r="AX274" s="521">
        <f t="shared" si="171"/>
        <v>9.9528E-5</v>
      </c>
      <c r="AY274" s="507"/>
      <c r="AZ274" s="189"/>
      <c r="BA274" s="189"/>
      <c r="BB274" s="189"/>
      <c r="BC274" s="517"/>
      <c r="BD274" s="189"/>
      <c r="BF274" s="445"/>
    </row>
    <row r="275" spans="1:62" ht="23.25" customHeight="1">
      <c r="A275" s="116">
        <v>4627101820724</v>
      </c>
      <c r="B275" s="100">
        <v>1661</v>
      </c>
      <c r="C275" s="251" t="s">
        <v>1591</v>
      </c>
      <c r="D275" s="826"/>
      <c r="E275" s="110" t="s">
        <v>1592</v>
      </c>
      <c r="F275" s="248"/>
      <c r="G275" s="190"/>
      <c r="H275" s="190"/>
      <c r="I275" s="239"/>
      <c r="J275" s="238">
        <v>205</v>
      </c>
      <c r="K275" s="104">
        <f t="shared" si="165"/>
        <v>0</v>
      </c>
      <c r="L275" s="238">
        <f t="shared" si="172"/>
        <v>215.25</v>
      </c>
      <c r="M275" s="104">
        <f t="shared" si="166"/>
        <v>0</v>
      </c>
      <c r="N275" s="238">
        <f t="shared" si="173"/>
        <v>225.5</v>
      </c>
      <c r="O275" s="104">
        <f t="shared" si="167"/>
        <v>0</v>
      </c>
      <c r="P275" s="238">
        <f t="shared" si="174"/>
        <v>235.75</v>
      </c>
      <c r="Q275" s="104">
        <f t="shared" si="168"/>
        <v>0</v>
      </c>
      <c r="R275" s="238">
        <f t="shared" si="175"/>
        <v>256.25</v>
      </c>
      <c r="S275" s="104">
        <f t="shared" si="169"/>
        <v>0</v>
      </c>
      <c r="T275" s="105">
        <v>35</v>
      </c>
      <c r="U275" s="105">
        <f t="shared" si="170"/>
        <v>0</v>
      </c>
      <c r="V275" s="106"/>
      <c r="W275" s="301">
        <v>385</v>
      </c>
      <c r="Y275" s="567">
        <v>9</v>
      </c>
      <c r="Z275" s="189">
        <v>3</v>
      </c>
      <c r="AA275" s="541" t="s">
        <v>1562</v>
      </c>
      <c r="AB275" s="537">
        <v>43889</v>
      </c>
      <c r="AC275" s="537">
        <v>45715</v>
      </c>
      <c r="AD275" s="768" t="s">
        <v>1563</v>
      </c>
      <c r="AE275" s="718" t="s">
        <v>67</v>
      </c>
      <c r="AF275" s="700"/>
      <c r="AG275" s="700"/>
      <c r="AH275" s="547" t="s">
        <v>1564</v>
      </c>
      <c r="AI275" s="478"/>
      <c r="AJ275" s="189"/>
      <c r="AK275" s="568">
        <v>3304990000</v>
      </c>
      <c r="AM275" s="610" t="s">
        <v>1587</v>
      </c>
      <c r="AN275" s="611" t="s">
        <v>1588</v>
      </c>
      <c r="AO275" s="611" t="s">
        <v>1567</v>
      </c>
      <c r="AP275" s="616"/>
      <c r="AQ275" s="637"/>
      <c r="AR275" s="621"/>
      <c r="AS275" s="618"/>
      <c r="AU275" s="189"/>
      <c r="AV275" s="189"/>
      <c r="AW275" s="189"/>
      <c r="AX275" s="521">
        <f t="shared" si="171"/>
        <v>9.9528E-5</v>
      </c>
      <c r="AY275" s="507"/>
      <c r="AZ275" s="189"/>
      <c r="BA275" s="189"/>
      <c r="BB275" s="189"/>
      <c r="BC275" s="517"/>
      <c r="BD275" s="189"/>
      <c r="BF275" s="445"/>
    </row>
    <row r="276" spans="1:62" ht="25.5" customHeight="1">
      <c r="A276" s="485" t="s">
        <v>156</v>
      </c>
      <c r="B276" s="274"/>
      <c r="C276" s="393" t="s">
        <v>1593</v>
      </c>
      <c r="D276" s="835"/>
      <c r="E276" s="394"/>
      <c r="F276" s="491"/>
      <c r="G276" s="289"/>
      <c r="H276" s="289"/>
      <c r="I276" s="356"/>
      <c r="J276" s="357"/>
      <c r="K276" s="488">
        <f>SUM(K277:K279)</f>
        <v>0</v>
      </c>
      <c r="L276" s="489"/>
      <c r="M276" s="488">
        <f>SUM(M277:M279)</f>
        <v>0</v>
      </c>
      <c r="N276" s="489"/>
      <c r="O276" s="488">
        <f>SUM(O277:O279)</f>
        <v>0</v>
      </c>
      <c r="P276" s="489"/>
      <c r="Q276" s="488">
        <f>SUM(Q277:Q279)</f>
        <v>0</v>
      </c>
      <c r="R276" s="489"/>
      <c r="S276" s="488">
        <f>SUM(S277:S279)</f>
        <v>0</v>
      </c>
      <c r="T276" s="346"/>
      <c r="U276" s="313">
        <f>SUM(U277:U279)</f>
        <v>0</v>
      </c>
      <c r="V276" s="293"/>
      <c r="W276" s="293"/>
      <c r="Y276" s="562"/>
      <c r="Z276" s="293"/>
      <c r="AA276" s="772"/>
      <c r="AB276" s="543"/>
      <c r="AC276" s="543"/>
      <c r="AD276" s="716"/>
      <c r="AE276" s="716"/>
      <c r="AF276" s="701"/>
      <c r="AG276" s="701"/>
      <c r="AH276" s="546"/>
      <c r="AI276" s="675"/>
      <c r="AJ276" s="293"/>
      <c r="AK276" s="563"/>
      <c r="AL276" s="554"/>
      <c r="AM276" s="562"/>
      <c r="AN276" s="293"/>
      <c r="AO276" s="293"/>
      <c r="AP276" s="293"/>
      <c r="AQ276" s="293"/>
      <c r="AR276" s="293"/>
      <c r="AS276" s="563"/>
      <c r="AU276" s="293"/>
      <c r="AV276" s="293"/>
      <c r="AW276" s="293"/>
      <c r="AX276" s="293"/>
      <c r="AY276" s="293"/>
      <c r="AZ276" s="293"/>
      <c r="BA276" s="293"/>
      <c r="BB276" s="293"/>
      <c r="BC276" s="293"/>
      <c r="BD276" s="293"/>
      <c r="BF276" s="445"/>
    </row>
    <row r="277" spans="1:62" ht="20.25" customHeight="1">
      <c r="A277" s="395">
        <v>4620748860771</v>
      </c>
      <c r="B277" s="108">
        <v>1288</v>
      </c>
      <c r="C277" s="369" t="s">
        <v>1594</v>
      </c>
      <c r="D277" s="833"/>
      <c r="E277" s="396" t="s">
        <v>304</v>
      </c>
      <c r="F277" s="249"/>
      <c r="G277" s="397"/>
      <c r="H277" s="397"/>
      <c r="I277" s="239"/>
      <c r="J277" s="398">
        <v>270</v>
      </c>
      <c r="K277" s="104">
        <f>J277*F277</f>
        <v>0</v>
      </c>
      <c r="L277" s="238">
        <f>J277+J277*5%</f>
        <v>283.5</v>
      </c>
      <c r="M277" s="104">
        <f>F277*L277</f>
        <v>0</v>
      </c>
      <c r="N277" s="238">
        <f>J277+J277*10%</f>
        <v>297</v>
      </c>
      <c r="O277" s="104">
        <f>F277*N277</f>
        <v>0</v>
      </c>
      <c r="P277" s="238">
        <f>J277+J277*15%</f>
        <v>310.5</v>
      </c>
      <c r="Q277" s="104">
        <f>F277*P277</f>
        <v>0</v>
      </c>
      <c r="R277" s="238">
        <f>J277+J277*25%</f>
        <v>337.5</v>
      </c>
      <c r="S277" s="104">
        <f>F277*R277</f>
        <v>0</v>
      </c>
      <c r="T277" s="105">
        <v>160</v>
      </c>
      <c r="U277" s="105">
        <f>T277*F277</f>
        <v>0</v>
      </c>
      <c r="V277" s="106"/>
      <c r="W277" s="301">
        <v>510</v>
      </c>
      <c r="Y277" s="567">
        <v>12</v>
      </c>
      <c r="Z277" s="189">
        <v>6</v>
      </c>
      <c r="AA277" s="541" t="s">
        <v>1595</v>
      </c>
      <c r="AB277" s="537">
        <v>44970</v>
      </c>
      <c r="AC277" s="535" t="s">
        <v>1596</v>
      </c>
      <c r="AD277" s="713" t="s">
        <v>1597</v>
      </c>
      <c r="AE277" s="718" t="s">
        <v>67</v>
      </c>
      <c r="AF277" s="700" t="s">
        <v>1598</v>
      </c>
      <c r="AG277" s="700" t="s">
        <v>291</v>
      </c>
      <c r="AH277" s="548" t="s">
        <v>1599</v>
      </c>
      <c r="AI277" s="679" t="s">
        <v>1600</v>
      </c>
      <c r="AJ277" s="525"/>
      <c r="AK277" s="568">
        <v>3401209000</v>
      </c>
      <c r="AM277" s="708" t="s">
        <v>1601</v>
      </c>
      <c r="AN277" s="709" t="s">
        <v>1602</v>
      </c>
      <c r="AO277" s="709" t="s">
        <v>1603</v>
      </c>
      <c r="AP277" s="655" t="s">
        <v>1604</v>
      </c>
      <c r="AQ277" s="637" t="s">
        <v>1605</v>
      </c>
      <c r="AR277" s="656"/>
      <c r="AS277" s="657"/>
      <c r="AU277" s="525"/>
      <c r="AV277" s="525"/>
      <c r="AW277" s="525"/>
      <c r="AX277" s="512">
        <f>165*52*34/1000000000</f>
        <v>2.9171999999999998E-4</v>
      </c>
      <c r="AY277" s="507" t="e">
        <f>AX277*#REF!</f>
        <v>#REF!</v>
      </c>
      <c r="AZ277" s="511">
        <v>17</v>
      </c>
      <c r="BA277" s="511">
        <v>13</v>
      </c>
      <c r="BB277" s="511">
        <v>21</v>
      </c>
      <c r="BC277" s="517"/>
      <c r="BD277" s="189"/>
      <c r="BF277" s="445"/>
      <c r="BI277" s="442" t="s">
        <v>318</v>
      </c>
      <c r="BJ277" s="21" t="s">
        <v>319</v>
      </c>
    </row>
    <row r="278" spans="1:62" ht="22.5" customHeight="1">
      <c r="A278" s="395">
        <v>4620748860764</v>
      </c>
      <c r="B278" s="108">
        <v>1289</v>
      </c>
      <c r="C278" s="369" t="s">
        <v>1606</v>
      </c>
      <c r="D278" s="833"/>
      <c r="E278" s="396" t="s">
        <v>321</v>
      </c>
      <c r="F278" s="249"/>
      <c r="G278" s="397"/>
      <c r="H278" s="397"/>
      <c r="I278" s="239"/>
      <c r="J278" s="398">
        <v>230</v>
      </c>
      <c r="K278" s="104">
        <f>J278*F278</f>
        <v>0</v>
      </c>
      <c r="L278" s="238">
        <f t="shared" ref="L278:L279" si="176">J278+J278*5%</f>
        <v>241.5</v>
      </c>
      <c r="M278" s="104">
        <f>F278*L278</f>
        <v>0</v>
      </c>
      <c r="N278" s="238">
        <f t="shared" ref="N278:N279" si="177">J278+J278*10%</f>
        <v>253</v>
      </c>
      <c r="O278" s="104">
        <f>F278*N278</f>
        <v>0</v>
      </c>
      <c r="P278" s="238">
        <f t="shared" ref="P278:P279" si="178">J278+J278*15%</f>
        <v>264.5</v>
      </c>
      <c r="Q278" s="104">
        <f>F278*P278</f>
        <v>0</v>
      </c>
      <c r="R278" s="238">
        <f t="shared" ref="R278:R279" si="179">J278+J278*25%</f>
        <v>287.5</v>
      </c>
      <c r="S278" s="104">
        <f>F278*R278</f>
        <v>0</v>
      </c>
      <c r="T278" s="105">
        <v>230</v>
      </c>
      <c r="U278" s="105">
        <f>T278*F278</f>
        <v>0</v>
      </c>
      <c r="V278" s="106"/>
      <c r="W278" s="301">
        <v>435</v>
      </c>
      <c r="Y278" s="567">
        <v>24</v>
      </c>
      <c r="Z278" s="189">
        <v>6</v>
      </c>
      <c r="AA278" s="541" t="s">
        <v>1607</v>
      </c>
      <c r="AB278" s="537">
        <v>44970</v>
      </c>
      <c r="AC278" s="535" t="s">
        <v>1596</v>
      </c>
      <c r="AD278" s="713" t="s">
        <v>1608</v>
      </c>
      <c r="AE278" s="718" t="s">
        <v>67</v>
      </c>
      <c r="AF278" s="700" t="s">
        <v>1609</v>
      </c>
      <c r="AG278" s="700" t="s">
        <v>978</v>
      </c>
      <c r="AH278" s="547" t="s">
        <v>1610</v>
      </c>
      <c r="AI278" s="679" t="s">
        <v>1611</v>
      </c>
      <c r="AJ278" s="525"/>
      <c r="AK278" s="568">
        <v>3401209000</v>
      </c>
      <c r="AM278" s="708" t="s">
        <v>1612</v>
      </c>
      <c r="AN278" s="709" t="s">
        <v>1613</v>
      </c>
      <c r="AO278" s="709" t="s">
        <v>1614</v>
      </c>
      <c r="AP278" s="612" t="s">
        <v>1615</v>
      </c>
      <c r="AQ278" s="637" t="s">
        <v>1616</v>
      </c>
      <c r="AR278" s="619" t="s">
        <v>340</v>
      </c>
      <c r="AS278" s="615"/>
      <c r="AU278" s="525"/>
      <c r="AV278" s="525"/>
      <c r="AW278" s="525"/>
      <c r="AX278" s="512">
        <f>178*46*46/1000000000</f>
        <v>3.7664799999999999E-4</v>
      </c>
      <c r="AY278" s="507" t="e">
        <f>AX278*#REF!</f>
        <v>#REF!</v>
      </c>
      <c r="AZ278" s="511">
        <v>20</v>
      </c>
      <c r="BA278" s="511">
        <v>20</v>
      </c>
      <c r="BB278" s="511">
        <v>30</v>
      </c>
      <c r="BC278" s="517"/>
      <c r="BD278" s="189"/>
      <c r="BF278" s="445"/>
    </row>
    <row r="279" spans="1:62" ht="19.5" customHeight="1">
      <c r="A279" s="395">
        <v>4620748860757</v>
      </c>
      <c r="B279" s="108">
        <v>1290</v>
      </c>
      <c r="C279" s="369" t="s">
        <v>1617</v>
      </c>
      <c r="D279" s="833"/>
      <c r="E279" s="396" t="s">
        <v>321</v>
      </c>
      <c r="F279" s="249"/>
      <c r="G279" s="397"/>
      <c r="H279" s="397"/>
      <c r="I279" s="239"/>
      <c r="J279" s="398">
        <v>290</v>
      </c>
      <c r="K279" s="104">
        <f>J279*F279</f>
        <v>0</v>
      </c>
      <c r="L279" s="238">
        <f t="shared" si="176"/>
        <v>304.5</v>
      </c>
      <c r="M279" s="104">
        <f>F279*L279</f>
        <v>0</v>
      </c>
      <c r="N279" s="238">
        <f t="shared" si="177"/>
        <v>319</v>
      </c>
      <c r="O279" s="104">
        <f>F279*N279</f>
        <v>0</v>
      </c>
      <c r="P279" s="238">
        <f t="shared" si="178"/>
        <v>333.5</v>
      </c>
      <c r="Q279" s="104">
        <f>F279*P279</f>
        <v>0</v>
      </c>
      <c r="R279" s="238">
        <f t="shared" si="179"/>
        <v>362.5</v>
      </c>
      <c r="S279" s="104">
        <f>F279*R279</f>
        <v>0</v>
      </c>
      <c r="T279" s="105">
        <v>230</v>
      </c>
      <c r="U279" s="105">
        <f>T279*F279</f>
        <v>0</v>
      </c>
      <c r="V279" s="106"/>
      <c r="W279" s="301">
        <v>550</v>
      </c>
      <c r="Y279" s="567">
        <v>12</v>
      </c>
      <c r="Z279" s="189">
        <v>3</v>
      </c>
      <c r="AA279" s="541" t="s">
        <v>1618</v>
      </c>
      <c r="AB279" s="537">
        <v>44970</v>
      </c>
      <c r="AC279" s="535" t="s">
        <v>1596</v>
      </c>
      <c r="AD279" s="713" t="s">
        <v>1619</v>
      </c>
      <c r="AE279" s="718" t="s">
        <v>67</v>
      </c>
      <c r="AF279" s="700" t="s">
        <v>344</v>
      </c>
      <c r="AG279" s="700" t="s">
        <v>1620</v>
      </c>
      <c r="AH279" s="547" t="s">
        <v>1610</v>
      </c>
      <c r="AI279" s="679" t="s">
        <v>1611</v>
      </c>
      <c r="AJ279" s="525"/>
      <c r="AK279" s="568">
        <v>3401209000</v>
      </c>
      <c r="AM279" s="708" t="s">
        <v>1621</v>
      </c>
      <c r="AN279" s="709" t="s">
        <v>1622</v>
      </c>
      <c r="AO279" s="709" t="s">
        <v>1614</v>
      </c>
      <c r="AP279" s="612" t="s">
        <v>1623</v>
      </c>
      <c r="AQ279" s="637" t="s">
        <v>1624</v>
      </c>
      <c r="AR279" s="619" t="s">
        <v>340</v>
      </c>
      <c r="AS279" s="615"/>
      <c r="AU279" s="525"/>
      <c r="AV279" s="525"/>
      <c r="AW279" s="525"/>
      <c r="AX279" s="512">
        <f>178*46*46/1000000000</f>
        <v>3.7664799999999999E-4</v>
      </c>
      <c r="AY279" s="507" t="e">
        <f>AX279*#REF!</f>
        <v>#REF!</v>
      </c>
      <c r="AZ279" s="511">
        <v>20</v>
      </c>
      <c r="BA279" s="511">
        <v>20</v>
      </c>
      <c r="BB279" s="511">
        <v>30</v>
      </c>
      <c r="BC279" s="517"/>
      <c r="BD279" s="189"/>
      <c r="BF279" s="445"/>
    </row>
    <row r="280" spans="1:62" ht="30" customHeight="1">
      <c r="A280" s="1005"/>
      <c r="B280" s="274"/>
      <c r="C280" s="1006" t="s">
        <v>1625</v>
      </c>
      <c r="D280" s="835"/>
      <c r="E280" s="394"/>
      <c r="F280" s="491"/>
      <c r="G280" s="289"/>
      <c r="H280" s="289"/>
      <c r="I280" s="356"/>
      <c r="J280" s="357"/>
      <c r="K280" s="488">
        <f>K281+K282+K283+K284+K285</f>
        <v>0</v>
      </c>
      <c r="L280" s="489"/>
      <c r="M280" s="488">
        <f>M281+M282+M283+M284+M285</f>
        <v>0</v>
      </c>
      <c r="N280" s="489"/>
      <c r="O280" s="488">
        <f>O281+O282+O283+O284+O285</f>
        <v>0</v>
      </c>
      <c r="P280" s="489"/>
      <c r="Q280" s="488">
        <f>Q281+Q282+Q283+Q284+Q285</f>
        <v>0</v>
      </c>
      <c r="R280" s="489"/>
      <c r="S280" s="488">
        <f>S281+S282+S283+S284+S285</f>
        <v>0</v>
      </c>
      <c r="T280" s="346"/>
      <c r="U280" s="313">
        <f>SUM(U281:U282)</f>
        <v>0</v>
      </c>
      <c r="V280" s="293"/>
      <c r="W280" s="293"/>
      <c r="Y280" s="562"/>
      <c r="Z280" s="293"/>
      <c r="AA280" s="772"/>
      <c r="AB280" s="543"/>
      <c r="AC280" s="543"/>
      <c r="AD280" s="716"/>
      <c r="AE280" s="716"/>
      <c r="AF280" s="701"/>
      <c r="AG280" s="701"/>
      <c r="AH280" s="546"/>
      <c r="AI280" s="675"/>
      <c r="AJ280" s="293"/>
      <c r="AK280" s="563"/>
      <c r="AL280" s="554"/>
      <c r="AM280" s="562"/>
      <c r="AN280" s="293"/>
      <c r="AO280" s="293"/>
      <c r="AP280" s="293"/>
      <c r="AQ280" s="293"/>
      <c r="AR280" s="293"/>
      <c r="AS280" s="563"/>
      <c r="AU280" s="293"/>
      <c r="AV280" s="293"/>
      <c r="AW280" s="293"/>
      <c r="AX280" s="293"/>
      <c r="AY280" s="293"/>
      <c r="AZ280" s="293"/>
      <c r="BA280" s="293"/>
      <c r="BB280" s="293"/>
      <c r="BC280" s="293"/>
      <c r="BD280" s="293"/>
      <c r="BF280" s="445"/>
    </row>
    <row r="281" spans="1:62" ht="24.75" customHeight="1">
      <c r="A281" s="395">
        <v>4627186341800</v>
      </c>
      <c r="B281" s="108">
        <v>3985</v>
      </c>
      <c r="C281" s="369" t="s">
        <v>1626</v>
      </c>
      <c r="D281" s="833"/>
      <c r="E281" s="396"/>
      <c r="F281" s="249"/>
      <c r="G281" s="397"/>
      <c r="H281" s="397"/>
      <c r="I281" s="239"/>
      <c r="J281" s="398">
        <v>315</v>
      </c>
      <c r="K281" s="104">
        <f t="shared" ref="K281" si="180">J281*F281</f>
        <v>0</v>
      </c>
      <c r="L281" s="238">
        <v>331</v>
      </c>
      <c r="M281" s="104">
        <f>J281*F281</f>
        <v>0</v>
      </c>
      <c r="N281" s="238">
        <v>347</v>
      </c>
      <c r="O281" s="104">
        <f t="shared" ref="O281" si="181">N281*F281</f>
        <v>0</v>
      </c>
      <c r="P281" s="238">
        <v>362</v>
      </c>
      <c r="Q281" s="104">
        <f t="shared" ref="Q281:Q283" si="182">P281*F281</f>
        <v>0</v>
      </c>
      <c r="R281" s="238">
        <v>394</v>
      </c>
      <c r="S281" s="104">
        <f t="shared" ref="S281:S283" si="183">R281*F281</f>
        <v>0</v>
      </c>
      <c r="T281" s="105">
        <v>280</v>
      </c>
      <c r="U281" s="105">
        <f t="shared" ref="U281:U283" si="184">T281*F281</f>
        <v>0</v>
      </c>
      <c r="V281" s="106"/>
      <c r="W281" s="301">
        <v>605</v>
      </c>
      <c r="Y281" s="567">
        <v>18</v>
      </c>
      <c r="Z281" s="189">
        <v>6</v>
      </c>
      <c r="AA281" s="541" t="s">
        <v>1627</v>
      </c>
      <c r="AB281" s="537">
        <v>44904</v>
      </c>
      <c r="AC281" s="537">
        <v>47458</v>
      </c>
      <c r="AD281" s="717" t="s">
        <v>1628</v>
      </c>
      <c r="AE281" s="718" t="s">
        <v>141</v>
      </c>
      <c r="AF281" s="700" t="s">
        <v>1598</v>
      </c>
      <c r="AG281" s="700" t="s">
        <v>291</v>
      </c>
      <c r="AH281" s="547" t="s">
        <v>1629</v>
      </c>
      <c r="AI281" s="679" t="s">
        <v>1630</v>
      </c>
      <c r="AJ281" s="528"/>
      <c r="AK281" s="568">
        <v>3305100000</v>
      </c>
      <c r="AM281" s="692" t="s">
        <v>1631</v>
      </c>
      <c r="AN281" s="693" t="s">
        <v>1632</v>
      </c>
      <c r="AO281" s="693" t="s">
        <v>1633</v>
      </c>
      <c r="AP281" s="612"/>
      <c r="AQ281" s="637"/>
      <c r="AR281" s="619"/>
      <c r="AS281" s="615"/>
      <c r="AU281" s="525"/>
      <c r="AV281" s="525"/>
      <c r="AW281" s="525"/>
      <c r="AX281" s="512"/>
      <c r="AY281" s="507"/>
      <c r="AZ281" s="511"/>
      <c r="BA281" s="511"/>
      <c r="BB281" s="511"/>
      <c r="BC281" s="517"/>
      <c r="BD281" s="189"/>
      <c r="BF281" s="445"/>
    </row>
    <row r="282" spans="1:62" ht="24.75" customHeight="1">
      <c r="A282" s="395">
        <v>4627186343613</v>
      </c>
      <c r="B282" s="108">
        <v>4344</v>
      </c>
      <c r="C282" s="369" t="s">
        <v>1634</v>
      </c>
      <c r="D282" s="833"/>
      <c r="E282" s="396"/>
      <c r="F282" s="249"/>
      <c r="G282" s="397"/>
      <c r="H282" s="397"/>
      <c r="I282" s="239"/>
      <c r="J282" s="398">
        <v>145</v>
      </c>
      <c r="K282" s="104">
        <f>F282*J282</f>
        <v>0</v>
      </c>
      <c r="L282" s="238">
        <v>152</v>
      </c>
      <c r="M282" s="104">
        <f>L282*F282</f>
        <v>0</v>
      </c>
      <c r="N282" s="238">
        <v>160</v>
      </c>
      <c r="O282" s="104">
        <f>N282*F282</f>
        <v>0</v>
      </c>
      <c r="P282" s="238">
        <v>167</v>
      </c>
      <c r="Q282" s="104">
        <f t="shared" si="182"/>
        <v>0</v>
      </c>
      <c r="R282" s="238">
        <v>181</v>
      </c>
      <c r="S282" s="104">
        <f>R282*F282</f>
        <v>0</v>
      </c>
      <c r="T282" s="105">
        <v>125</v>
      </c>
      <c r="U282" s="105">
        <f t="shared" si="184"/>
        <v>0</v>
      </c>
      <c r="V282" s="106"/>
      <c r="W282" s="301">
        <v>275</v>
      </c>
      <c r="Y282" s="567"/>
      <c r="Z282" s="189"/>
      <c r="AA282" s="541" t="s">
        <v>1627</v>
      </c>
      <c r="AB282" s="537">
        <v>44904</v>
      </c>
      <c r="AC282" s="537">
        <v>47458</v>
      </c>
      <c r="AD282" s="717" t="s">
        <v>1628</v>
      </c>
      <c r="AE282" s="718" t="s">
        <v>141</v>
      </c>
      <c r="AF282" s="700" t="s">
        <v>1598</v>
      </c>
      <c r="AG282" s="700" t="s">
        <v>291</v>
      </c>
      <c r="AH282" s="547" t="s">
        <v>1629</v>
      </c>
      <c r="AI282" s="679" t="s">
        <v>1630</v>
      </c>
      <c r="AJ282" s="528"/>
      <c r="AK282" s="568">
        <v>3305100000</v>
      </c>
      <c r="AM282" s="692"/>
      <c r="AN282" s="693"/>
      <c r="AO282" s="693"/>
      <c r="AP282" s="612"/>
      <c r="AQ282" s="637"/>
      <c r="AR282" s="619"/>
      <c r="AS282" s="615"/>
      <c r="AU282" s="525"/>
      <c r="AV282" s="525"/>
      <c r="AW282" s="525"/>
      <c r="AX282" s="512"/>
      <c r="AY282" s="507"/>
      <c r="AZ282" s="511"/>
      <c r="BA282" s="511"/>
      <c r="BB282" s="511"/>
      <c r="BC282" s="517"/>
      <c r="BD282" s="189"/>
      <c r="BF282" s="445"/>
    </row>
    <row r="283" spans="1:62" ht="24" customHeight="1">
      <c r="A283" s="395">
        <v>4627186342401</v>
      </c>
      <c r="B283" s="108">
        <v>3984</v>
      </c>
      <c r="C283" s="369" t="s">
        <v>1635</v>
      </c>
      <c r="D283" s="833"/>
      <c r="E283" s="396"/>
      <c r="F283" s="249"/>
      <c r="G283" s="397"/>
      <c r="H283" s="397"/>
      <c r="I283" s="239"/>
      <c r="J283" s="104">
        <v>315</v>
      </c>
      <c r="K283" s="104">
        <f t="shared" ref="K283" si="185">J283*F283</f>
        <v>0</v>
      </c>
      <c r="L283" s="104">
        <v>331</v>
      </c>
      <c r="M283" s="104">
        <f>L283*F283</f>
        <v>0</v>
      </c>
      <c r="N283" s="104">
        <v>347</v>
      </c>
      <c r="O283" s="104">
        <f>N283*F283</f>
        <v>0</v>
      </c>
      <c r="P283" s="104">
        <v>362</v>
      </c>
      <c r="Q283" s="104">
        <f t="shared" si="182"/>
        <v>0</v>
      </c>
      <c r="R283" s="238">
        <v>394</v>
      </c>
      <c r="S283" s="104">
        <f t="shared" si="183"/>
        <v>0</v>
      </c>
      <c r="T283" s="105">
        <v>280</v>
      </c>
      <c r="U283" s="105">
        <f t="shared" si="184"/>
        <v>0</v>
      </c>
      <c r="V283" s="106"/>
      <c r="W283" s="301">
        <v>605</v>
      </c>
      <c r="Y283" s="567">
        <v>18</v>
      </c>
      <c r="Z283" s="189">
        <v>6</v>
      </c>
      <c r="AA283" s="541" t="s">
        <v>1627</v>
      </c>
      <c r="AB283" s="537">
        <v>44904</v>
      </c>
      <c r="AC283" s="537">
        <v>47458</v>
      </c>
      <c r="AD283" s="717" t="s">
        <v>1636</v>
      </c>
      <c r="AE283" s="718" t="s">
        <v>67</v>
      </c>
      <c r="AF283" s="700" t="s">
        <v>986</v>
      </c>
      <c r="AG283" s="700" t="s">
        <v>1034</v>
      </c>
      <c r="AH283" s="547" t="s">
        <v>1629</v>
      </c>
      <c r="AI283" s="679" t="s">
        <v>1630</v>
      </c>
      <c r="AJ283" s="528"/>
      <c r="AK283" s="568">
        <v>3305100000</v>
      </c>
      <c r="AM283" s="692" t="s">
        <v>1637</v>
      </c>
      <c r="AN283" s="693" t="s">
        <v>1638</v>
      </c>
      <c r="AO283" s="693" t="s">
        <v>1639</v>
      </c>
      <c r="AP283" s="612"/>
      <c r="AQ283" s="637"/>
      <c r="AR283" s="619"/>
      <c r="AS283" s="615"/>
      <c r="AU283" s="525"/>
      <c r="AV283" s="525"/>
      <c r="AW283" s="525"/>
      <c r="AX283" s="512"/>
      <c r="AY283" s="507"/>
      <c r="AZ283" s="511"/>
      <c r="BA283" s="511"/>
      <c r="BB283" s="511"/>
      <c r="BC283" s="517"/>
      <c r="BD283" s="189"/>
      <c r="BF283" s="445"/>
    </row>
    <row r="284" spans="1:62" ht="24" customHeight="1">
      <c r="A284" s="395">
        <v>4627186341817</v>
      </c>
      <c r="B284" s="108">
        <v>3990</v>
      </c>
      <c r="C284" s="369" t="s">
        <v>1640</v>
      </c>
      <c r="D284" s="833"/>
      <c r="E284" s="396"/>
      <c r="F284" s="249"/>
      <c r="G284" s="397"/>
      <c r="H284" s="397"/>
      <c r="I284" s="239"/>
      <c r="J284" s="398">
        <v>430</v>
      </c>
      <c r="K284" s="104">
        <f t="shared" ref="K284" si="186">J284*F284</f>
        <v>0</v>
      </c>
      <c r="L284" s="238">
        <v>452</v>
      </c>
      <c r="M284" s="104">
        <f t="shared" ref="M284:M285" si="187">L284*F284</f>
        <v>0</v>
      </c>
      <c r="N284" s="238">
        <v>473</v>
      </c>
      <c r="O284" s="104">
        <f t="shared" ref="O284:O285" si="188">N284*F284</f>
        <v>0</v>
      </c>
      <c r="P284" s="238">
        <v>495</v>
      </c>
      <c r="Q284" s="104">
        <f t="shared" ref="Q284:Q285" si="189">P284*F284</f>
        <v>0</v>
      </c>
      <c r="R284" s="238">
        <v>538</v>
      </c>
      <c r="S284" s="104">
        <f t="shared" ref="S284:S285" si="190">R284*F284</f>
        <v>0</v>
      </c>
      <c r="T284" s="105">
        <v>288</v>
      </c>
      <c r="U284" s="105">
        <f t="shared" ref="U284" si="191">T284*F284</f>
        <v>0</v>
      </c>
      <c r="V284" s="106"/>
      <c r="W284" s="301">
        <v>825</v>
      </c>
      <c r="Y284" s="567"/>
      <c r="Z284" s="189"/>
      <c r="AA284" s="541"/>
      <c r="AB284" s="537"/>
      <c r="AC284" s="537"/>
      <c r="AD284" s="717"/>
      <c r="AE284" s="718"/>
      <c r="AF284" s="700"/>
      <c r="AG284" s="700"/>
      <c r="AH284" s="547"/>
      <c r="AI284" s="679"/>
      <c r="AJ284" s="528"/>
      <c r="AK284" s="568"/>
      <c r="AM284" s="692"/>
      <c r="AN284" s="693"/>
      <c r="AO284" s="693"/>
      <c r="AP284" s="612"/>
      <c r="AQ284" s="637"/>
      <c r="AR284" s="619"/>
      <c r="AS284" s="615"/>
      <c r="AU284" s="525"/>
      <c r="AV284" s="525"/>
      <c r="AW284" s="525"/>
      <c r="AX284" s="512"/>
      <c r="AY284" s="507"/>
      <c r="AZ284" s="511"/>
      <c r="BA284" s="511"/>
      <c r="BB284" s="511"/>
      <c r="BC284" s="517"/>
      <c r="BD284" s="189"/>
      <c r="BF284" s="445"/>
    </row>
    <row r="285" spans="1:62" ht="21.75" customHeight="1">
      <c r="A285" s="116">
        <v>4627186341220</v>
      </c>
      <c r="B285" s="100">
        <v>3688</v>
      </c>
      <c r="C285" s="251" t="s">
        <v>1641</v>
      </c>
      <c r="D285" s="833"/>
      <c r="E285" s="396"/>
      <c r="F285" s="248"/>
      <c r="G285" s="190"/>
      <c r="H285" s="190"/>
      <c r="I285" s="399"/>
      <c r="J285" s="238">
        <v>1620</v>
      </c>
      <c r="K285" s="104">
        <f>J285*F285</f>
        <v>0</v>
      </c>
      <c r="L285" s="238">
        <f t="shared" ref="L285" si="192">J285+J285*5%</f>
        <v>1701</v>
      </c>
      <c r="M285" s="104">
        <f t="shared" si="187"/>
        <v>0</v>
      </c>
      <c r="N285" s="238">
        <f t="shared" ref="N285" si="193">J285+J285*10%</f>
        <v>1782</v>
      </c>
      <c r="O285" s="104">
        <f t="shared" si="188"/>
        <v>0</v>
      </c>
      <c r="P285" s="238">
        <f t="shared" ref="P285" si="194">J285+J285*15%</f>
        <v>1863</v>
      </c>
      <c r="Q285" s="104">
        <f t="shared" si="189"/>
        <v>0</v>
      </c>
      <c r="R285" s="238">
        <f t="shared" ref="R285" si="195">J285+J285*25%</f>
        <v>2025</v>
      </c>
      <c r="S285" s="104">
        <f t="shared" si="190"/>
        <v>0</v>
      </c>
      <c r="T285" s="388">
        <v>190</v>
      </c>
      <c r="U285" s="388">
        <v>0</v>
      </c>
      <c r="V285" s="106"/>
      <c r="W285" s="400">
        <v>3100</v>
      </c>
      <c r="Y285" s="567">
        <v>18</v>
      </c>
      <c r="Z285" s="189">
        <v>3</v>
      </c>
      <c r="AA285" s="541" t="s">
        <v>1642</v>
      </c>
      <c r="AB285" s="537">
        <v>44904</v>
      </c>
      <c r="AC285" s="537">
        <v>47460</v>
      </c>
      <c r="AD285" s="717" t="s">
        <v>1643</v>
      </c>
      <c r="AE285" s="718" t="s">
        <v>67</v>
      </c>
      <c r="AF285" s="700" t="s">
        <v>1598</v>
      </c>
      <c r="AG285" s="700" t="s">
        <v>360</v>
      </c>
      <c r="AH285" s="547" t="s">
        <v>1644</v>
      </c>
      <c r="AI285" s="679" t="s">
        <v>1645</v>
      </c>
      <c r="AJ285" s="528"/>
      <c r="AK285" s="568">
        <v>3305100000</v>
      </c>
      <c r="AM285" s="692" t="s">
        <v>1646</v>
      </c>
      <c r="AN285" s="693" t="s">
        <v>1647</v>
      </c>
      <c r="AO285" s="693" t="s">
        <v>1648</v>
      </c>
      <c r="AP285" s="612"/>
      <c r="AQ285" s="637"/>
      <c r="AR285" s="619"/>
      <c r="AS285" s="615"/>
      <c r="AU285" s="525"/>
      <c r="AV285" s="525"/>
      <c r="AW285" s="525"/>
      <c r="AX285" s="512"/>
      <c r="AY285" s="507"/>
      <c r="AZ285" s="511"/>
      <c r="BA285" s="511"/>
      <c r="BB285" s="511"/>
      <c r="BC285" s="517"/>
      <c r="BD285" s="189"/>
      <c r="BF285" s="445"/>
    </row>
    <row r="286" spans="1:62" ht="24.75" customHeight="1">
      <c r="A286" s="485" t="s">
        <v>156</v>
      </c>
      <c r="B286" s="333"/>
      <c r="C286" s="1007" t="s">
        <v>1649</v>
      </c>
      <c r="D286" s="828"/>
      <c r="E286" s="335"/>
      <c r="F286" s="491"/>
      <c r="G286" s="362"/>
      <c r="H286" s="362"/>
      <c r="I286" s="356"/>
      <c r="J286" s="357"/>
      <c r="K286" s="488">
        <f>K288+K289+K290</f>
        <v>0</v>
      </c>
      <c r="L286" s="489"/>
      <c r="M286" s="488">
        <f>M288+M289+M290</f>
        <v>0</v>
      </c>
      <c r="N286" s="489"/>
      <c r="O286" s="488">
        <f>O288+O289+O290</f>
        <v>0</v>
      </c>
      <c r="P286" s="489"/>
      <c r="Q286" s="488">
        <f>Q288+Q289+Q290</f>
        <v>0</v>
      </c>
      <c r="R286" s="489"/>
      <c r="S286" s="488">
        <f>S288+S289+S290</f>
        <v>0</v>
      </c>
      <c r="T286" s="313"/>
      <c r="U286" s="313">
        <f>U288+U289+U290</f>
        <v>0</v>
      </c>
      <c r="V286" s="293"/>
      <c r="W286" s="293"/>
      <c r="Y286" s="562"/>
      <c r="Z286" s="293"/>
      <c r="AA286" s="772"/>
      <c r="AB286" s="543"/>
      <c r="AC286" s="543"/>
      <c r="AD286" s="716"/>
      <c r="AE286" s="716"/>
      <c r="AF286" s="701"/>
      <c r="AG286" s="701"/>
      <c r="AH286" s="546"/>
      <c r="AI286" s="675"/>
      <c r="AJ286" s="293"/>
      <c r="AK286" s="563"/>
      <c r="AL286" s="554"/>
      <c r="AM286" s="562"/>
      <c r="AN286" s="293"/>
      <c r="AO286" s="293"/>
      <c r="AP286" s="293"/>
      <c r="AQ286" s="293"/>
      <c r="AR286" s="293"/>
      <c r="AS286" s="563"/>
      <c r="AU286" s="293"/>
      <c r="AV286" s="293"/>
      <c r="AW286" s="293"/>
      <c r="AX286" s="293"/>
      <c r="AY286" s="293"/>
      <c r="AZ286" s="293"/>
      <c r="BA286" s="293"/>
      <c r="BB286" s="293"/>
      <c r="BC286" s="293"/>
      <c r="BD286" s="293"/>
      <c r="BF286" s="445"/>
    </row>
    <row r="287" spans="1:62" s="450" customFormat="1" ht="20.25" hidden="1" customHeight="1">
      <c r="A287" s="403">
        <v>4627101823459</v>
      </c>
      <c r="B287" s="404">
        <v>1483</v>
      </c>
      <c r="C287" s="405" t="s">
        <v>1650</v>
      </c>
      <c r="D287" s="826">
        <v>1</v>
      </c>
      <c r="E287" s="370" t="s">
        <v>585</v>
      </c>
      <c r="F287" s="406"/>
      <c r="G287" s="407"/>
      <c r="H287" s="407"/>
      <c r="I287" s="371"/>
      <c r="J287" s="371">
        <v>370</v>
      </c>
      <c r="K287" s="372">
        <f>F287*J287</f>
        <v>0</v>
      </c>
      <c r="L287" s="371">
        <f>J287+J287*5%</f>
        <v>388.5</v>
      </c>
      <c r="M287" s="372">
        <f>F287*L287</f>
        <v>0</v>
      </c>
      <c r="N287" s="371">
        <f>J287+J287*10%</f>
        <v>407</v>
      </c>
      <c r="O287" s="372">
        <f>F287*N287</f>
        <v>0</v>
      </c>
      <c r="P287" s="371">
        <f>J287+J287*15%</f>
        <v>425.5</v>
      </c>
      <c r="Q287" s="372">
        <f>F287*P287</f>
        <v>0</v>
      </c>
      <c r="R287" s="371">
        <f>J287+J287*25%</f>
        <v>462.5</v>
      </c>
      <c r="S287" s="372">
        <f>F287*R287</f>
        <v>0</v>
      </c>
      <c r="T287" s="371">
        <v>265</v>
      </c>
      <c r="U287" s="371">
        <f>T287*F287</f>
        <v>0</v>
      </c>
      <c r="V287" s="373"/>
      <c r="W287" s="374">
        <v>700</v>
      </c>
      <c r="X287" s="587"/>
      <c r="Y287" s="576">
        <v>12</v>
      </c>
      <c r="Z287" s="290">
        <v>3</v>
      </c>
      <c r="AA287" s="774"/>
      <c r="AB287" s="766"/>
      <c r="AC287" s="766"/>
      <c r="AD287" s="712"/>
      <c r="AE287" s="759" t="s">
        <v>67</v>
      </c>
      <c r="AF287" s="760"/>
      <c r="AG287" s="760"/>
      <c r="AH287" s="550" t="s">
        <v>1651</v>
      </c>
      <c r="AI287" s="761"/>
      <c r="AJ287" s="762"/>
      <c r="AK287" s="577">
        <v>3305900009</v>
      </c>
      <c r="AL287" s="559"/>
      <c r="AM287" s="663" t="s">
        <v>1652</v>
      </c>
      <c r="AN287" s="664" t="s">
        <v>1653</v>
      </c>
      <c r="AO287" s="664" t="s">
        <v>1654</v>
      </c>
      <c r="AP287" s="763" t="s">
        <v>1655</v>
      </c>
      <c r="AQ287" s="767" t="s">
        <v>1656</v>
      </c>
      <c r="AR287" s="672"/>
      <c r="AS287" s="764"/>
      <c r="AU287" s="762"/>
      <c r="AV287" s="762"/>
      <c r="AW287" s="762"/>
      <c r="AX287" s="765">
        <f>158*57*57/1000000000</f>
        <v>5.1334199999999996E-4</v>
      </c>
      <c r="AY287" s="529" t="e">
        <f>AX287*#REF!</f>
        <v>#REF!</v>
      </c>
      <c r="AZ287" s="762"/>
      <c r="BA287" s="762"/>
      <c r="BB287" s="762"/>
      <c r="BC287" s="530"/>
      <c r="BD287" s="290"/>
      <c r="BF287" s="531"/>
    </row>
    <row r="288" spans="1:62" ht="22.5" customHeight="1">
      <c r="A288" s="395">
        <v>4627186342395</v>
      </c>
      <c r="B288" s="108">
        <v>3980</v>
      </c>
      <c r="C288" s="369" t="s">
        <v>1657</v>
      </c>
      <c r="D288" s="826"/>
      <c r="E288" s="110" t="s">
        <v>287</v>
      </c>
      <c r="F288" s="249"/>
      <c r="G288" s="397"/>
      <c r="H288" s="397"/>
      <c r="I288" s="239"/>
      <c r="J288" s="104">
        <v>315</v>
      </c>
      <c r="K288" s="104">
        <f t="shared" ref="K288:K289" si="196">J288*F288</f>
        <v>0</v>
      </c>
      <c r="L288" s="104">
        <v>331</v>
      </c>
      <c r="M288" s="104">
        <f>L288*F288</f>
        <v>0</v>
      </c>
      <c r="N288" s="104">
        <v>347</v>
      </c>
      <c r="O288" s="104">
        <f>N288*F288</f>
        <v>0</v>
      </c>
      <c r="P288" s="104">
        <v>362</v>
      </c>
      <c r="Q288" s="104">
        <f t="shared" ref="Q288:Q289" si="197">P288*F288</f>
        <v>0</v>
      </c>
      <c r="R288" s="238">
        <v>394</v>
      </c>
      <c r="S288" s="104">
        <f t="shared" ref="S288:S289" si="198">R288*F288</f>
        <v>0</v>
      </c>
      <c r="T288" s="105">
        <v>270</v>
      </c>
      <c r="U288" s="105">
        <f t="shared" ref="U288:U289" si="199">T288*F288</f>
        <v>0</v>
      </c>
      <c r="V288" s="106"/>
      <c r="W288" s="301">
        <v>605</v>
      </c>
      <c r="Y288" s="567">
        <v>12</v>
      </c>
      <c r="Z288" s="189">
        <v>3</v>
      </c>
      <c r="AA288" s="541" t="s">
        <v>1627</v>
      </c>
      <c r="AB288" s="537">
        <v>44904</v>
      </c>
      <c r="AC288" s="537">
        <v>47458</v>
      </c>
      <c r="AD288" s="718" t="s">
        <v>1658</v>
      </c>
      <c r="AE288" s="718" t="s">
        <v>67</v>
      </c>
      <c r="AF288" s="700"/>
      <c r="AG288" s="700"/>
      <c r="AH288" s="547"/>
      <c r="AI288" s="676"/>
      <c r="AJ288" s="525"/>
      <c r="AK288" s="568">
        <v>3305100000</v>
      </c>
      <c r="AM288" s="610" t="s">
        <v>1659</v>
      </c>
      <c r="AN288" s="611" t="s">
        <v>1660</v>
      </c>
      <c r="AO288" s="611" t="s">
        <v>1661</v>
      </c>
      <c r="AP288" s="616" t="s">
        <v>1662</v>
      </c>
      <c r="AQ288" s="637" t="s">
        <v>1663</v>
      </c>
      <c r="AR288" s="621"/>
      <c r="AS288" s="618"/>
      <c r="AU288" s="525"/>
      <c r="AV288" s="525"/>
      <c r="AW288" s="525"/>
      <c r="AX288" s="521"/>
      <c r="AY288" s="507"/>
      <c r="AZ288" s="511"/>
      <c r="BA288" s="511"/>
      <c r="BB288" s="511"/>
      <c r="BC288" s="517"/>
      <c r="BD288" s="189"/>
      <c r="BF288" s="445"/>
    </row>
    <row r="289" spans="1:60" ht="22.5" customHeight="1">
      <c r="A289" s="395">
        <v>4627186342418</v>
      </c>
      <c r="B289" s="108">
        <v>3981</v>
      </c>
      <c r="C289" s="369" t="s">
        <v>1664</v>
      </c>
      <c r="D289" s="826"/>
      <c r="E289" s="110"/>
      <c r="F289" s="249"/>
      <c r="G289" s="397"/>
      <c r="H289" s="397"/>
      <c r="I289" s="239"/>
      <c r="J289" s="104">
        <v>315</v>
      </c>
      <c r="K289" s="104">
        <f t="shared" si="196"/>
        <v>0</v>
      </c>
      <c r="L289" s="104">
        <v>331</v>
      </c>
      <c r="M289" s="104">
        <f>L289*F289</f>
        <v>0</v>
      </c>
      <c r="N289" s="104">
        <v>347</v>
      </c>
      <c r="O289" s="104">
        <f>N289*F289</f>
        <v>0</v>
      </c>
      <c r="P289" s="104">
        <v>362</v>
      </c>
      <c r="Q289" s="104">
        <f t="shared" si="197"/>
        <v>0</v>
      </c>
      <c r="R289" s="238">
        <v>394</v>
      </c>
      <c r="S289" s="104">
        <f t="shared" si="198"/>
        <v>0</v>
      </c>
      <c r="T289" s="105">
        <v>270</v>
      </c>
      <c r="U289" s="105">
        <f t="shared" si="199"/>
        <v>0</v>
      </c>
      <c r="V289" s="106"/>
      <c r="W289" s="301">
        <v>605</v>
      </c>
      <c r="Y289" s="567"/>
      <c r="Z289" s="189"/>
      <c r="AA289" s="541"/>
      <c r="AB289" s="537"/>
      <c r="AC289" s="537"/>
      <c r="AD289" s="718"/>
      <c r="AE289" s="718"/>
      <c r="AF289" s="700"/>
      <c r="AG289" s="700"/>
      <c r="AH289" s="547"/>
      <c r="AI289" s="676"/>
      <c r="AJ289" s="525"/>
      <c r="AK289" s="568"/>
      <c r="AM289" s="610"/>
      <c r="AN289" s="611"/>
      <c r="AO289" s="611"/>
      <c r="AP289" s="616"/>
      <c r="AQ289" s="637"/>
      <c r="AR289" s="621"/>
      <c r="AS289" s="618"/>
      <c r="AU289" s="525"/>
      <c r="AV289" s="525"/>
      <c r="AW289" s="525"/>
      <c r="AX289" s="521"/>
      <c r="AY289" s="507"/>
      <c r="AZ289" s="511"/>
      <c r="BA289" s="511"/>
      <c r="BB289" s="511"/>
      <c r="BC289" s="517"/>
      <c r="BD289" s="189"/>
      <c r="BF289" s="445"/>
    </row>
    <row r="290" spans="1:60" ht="25.5" customHeight="1">
      <c r="A290" s="116">
        <v>4627186344191</v>
      </c>
      <c r="B290" s="100">
        <v>4595</v>
      </c>
      <c r="C290" s="251" t="s">
        <v>1665</v>
      </c>
      <c r="D290" s="826"/>
      <c r="E290" s="110"/>
      <c r="F290" s="248"/>
      <c r="G290" s="190"/>
      <c r="H290" s="190"/>
      <c r="I290" s="238"/>
      <c r="J290" s="238">
        <v>320</v>
      </c>
      <c r="K290" s="104">
        <f>J290*F290</f>
        <v>0</v>
      </c>
      <c r="L290" s="238">
        <v>336</v>
      </c>
      <c r="M290" s="104">
        <f>L290*F290</f>
        <v>0</v>
      </c>
      <c r="N290" s="238">
        <v>352</v>
      </c>
      <c r="O290" s="104">
        <f>N290*F290</f>
        <v>0</v>
      </c>
      <c r="P290" s="238">
        <v>368</v>
      </c>
      <c r="Q290" s="104">
        <f>P290*F290</f>
        <v>0</v>
      </c>
      <c r="R290" s="238">
        <v>400</v>
      </c>
      <c r="S290" s="104">
        <f>R290*F290</f>
        <v>0</v>
      </c>
      <c r="T290" s="105"/>
      <c r="U290" s="105">
        <f>T290*F290</f>
        <v>0</v>
      </c>
      <c r="V290" s="106"/>
      <c r="W290" s="301">
        <v>610</v>
      </c>
      <c r="Y290" s="567"/>
      <c r="Z290" s="189"/>
      <c r="AA290" s="541" t="s">
        <v>1666</v>
      </c>
      <c r="AB290" s="537">
        <v>45233</v>
      </c>
      <c r="AC290" s="537">
        <v>47789</v>
      </c>
      <c r="AD290" s="718" t="s">
        <v>1667</v>
      </c>
      <c r="AE290" s="718"/>
      <c r="AF290" s="700"/>
      <c r="AG290" s="700"/>
      <c r="AH290" s="547"/>
      <c r="AI290" s="676"/>
      <c r="AJ290" s="525"/>
      <c r="AK290" s="568"/>
      <c r="AM290" s="610"/>
      <c r="AN290" s="611"/>
      <c r="AO290" s="611"/>
      <c r="AP290" s="616"/>
      <c r="AQ290" s="637"/>
      <c r="AR290" s="621"/>
      <c r="AS290" s="618"/>
      <c r="AU290" s="525"/>
      <c r="AV290" s="525"/>
      <c r="AW290" s="525"/>
      <c r="AX290" s="521"/>
      <c r="AY290" s="507"/>
      <c r="AZ290" s="511"/>
      <c r="BA290" s="511"/>
      <c r="BB290" s="511"/>
      <c r="BC290" s="517"/>
      <c r="BD290" s="189"/>
      <c r="BF290" s="445"/>
    </row>
    <row r="291" spans="1:60" ht="22.5" customHeight="1">
      <c r="A291" s="485"/>
      <c r="B291" s="333"/>
      <c r="C291" s="1007" t="s">
        <v>1668</v>
      </c>
      <c r="D291" s="485" t="s">
        <v>156</v>
      </c>
      <c r="E291" s="485" t="s">
        <v>156</v>
      </c>
      <c r="F291" s="491"/>
      <c r="G291" s="485"/>
      <c r="H291" s="485"/>
      <c r="I291" s="485"/>
      <c r="J291" s="485"/>
      <c r="K291" s="488">
        <f>K292+K293+K294+K295+K296</f>
        <v>0</v>
      </c>
      <c r="L291" s="485"/>
      <c r="M291" s="488">
        <f>M292+M293+M294+M295+M296</f>
        <v>0</v>
      </c>
      <c r="N291" s="485"/>
      <c r="O291" s="488">
        <f>O292+O293+O294+O295+O296</f>
        <v>0</v>
      </c>
      <c r="P291" s="485"/>
      <c r="Q291" s="488">
        <f>Q292+Q293+Q294+Q295+Q296</f>
        <v>0</v>
      </c>
      <c r="R291" s="485"/>
      <c r="S291" s="488">
        <f>S292+S293+S294+S295+S296</f>
        <v>0</v>
      </c>
      <c r="T291" s="485"/>
      <c r="U291" s="488">
        <f>U292+U293+U294+U295+U296</f>
        <v>0</v>
      </c>
      <c r="V291" s="485"/>
      <c r="W291" s="485"/>
      <c r="Y291" s="567"/>
      <c r="Z291" s="189"/>
      <c r="AA291" s="541"/>
      <c r="AB291" s="537"/>
      <c r="AC291" s="537"/>
      <c r="AD291" s="718"/>
      <c r="AE291" s="718"/>
      <c r="AF291" s="700"/>
      <c r="AG291" s="700"/>
      <c r="AH291" s="547"/>
      <c r="AI291" s="676"/>
      <c r="AJ291" s="525"/>
      <c r="AK291" s="568"/>
      <c r="AM291" s="610"/>
      <c r="AN291" s="611"/>
      <c r="AO291" s="611"/>
      <c r="AP291" s="616"/>
      <c r="AQ291" s="637"/>
      <c r="AR291" s="621"/>
      <c r="AS291" s="618"/>
      <c r="AU291" s="525"/>
      <c r="AV291" s="525"/>
      <c r="AW291" s="525"/>
      <c r="AX291" s="521"/>
      <c r="AY291" s="507"/>
      <c r="AZ291" s="511"/>
      <c r="BA291" s="511"/>
      <c r="BB291" s="511"/>
      <c r="BC291" s="517"/>
      <c r="BD291" s="189"/>
      <c r="BF291" s="445"/>
    </row>
    <row r="292" spans="1:60" ht="22.5" customHeight="1">
      <c r="A292" s="116">
        <v>4627186341343</v>
      </c>
      <c r="B292" s="100">
        <v>3770</v>
      </c>
      <c r="C292" s="369" t="s">
        <v>1669</v>
      </c>
      <c r="D292" s="248"/>
      <c r="E292" s="190"/>
      <c r="F292" s="248"/>
      <c r="G292" s="190"/>
      <c r="H292" s="190"/>
      <c r="I292" s="238"/>
      <c r="J292" s="238">
        <v>145</v>
      </c>
      <c r="K292" s="104">
        <f>F292*J292</f>
        <v>0</v>
      </c>
      <c r="L292" s="238">
        <f t="shared" ref="L292" si="200">J292+J292*5%</f>
        <v>152.25</v>
      </c>
      <c r="M292" s="104">
        <f>F292*L292</f>
        <v>0</v>
      </c>
      <c r="N292" s="238">
        <f t="shared" ref="N292" si="201">J292+J292*10%</f>
        <v>159.5</v>
      </c>
      <c r="O292" s="104">
        <f>F292*N292</f>
        <v>0</v>
      </c>
      <c r="P292" s="238">
        <f t="shared" ref="P292" si="202">J292+J292*15%</f>
        <v>166.75</v>
      </c>
      <c r="Q292" s="104">
        <f>F292*P292</f>
        <v>0</v>
      </c>
      <c r="R292" s="238">
        <f t="shared" ref="R292" si="203">J292+J292*25%</f>
        <v>181.25</v>
      </c>
      <c r="S292" s="104">
        <f>F292*R292</f>
        <v>0</v>
      </c>
      <c r="T292" s="105">
        <v>125</v>
      </c>
      <c r="U292" s="105">
        <f>T292*F292</f>
        <v>0</v>
      </c>
      <c r="V292" s="106"/>
      <c r="W292" s="301">
        <v>275</v>
      </c>
      <c r="Y292" s="567"/>
      <c r="Z292" s="189"/>
      <c r="AA292" s="541"/>
      <c r="AB292" s="537"/>
      <c r="AC292" s="537"/>
      <c r="AD292" s="718"/>
      <c r="AE292" s="718"/>
      <c r="AF292" s="700"/>
      <c r="AG292" s="700"/>
      <c r="AH292" s="547"/>
      <c r="AI292" s="676"/>
      <c r="AJ292" s="525"/>
      <c r="AK292" s="568"/>
      <c r="AM292" s="610"/>
      <c r="AN292" s="611"/>
      <c r="AO292" s="611"/>
      <c r="AP292" s="616"/>
      <c r="AQ292" s="637"/>
      <c r="AR292" s="621"/>
      <c r="AS292" s="618"/>
      <c r="AU292" s="525"/>
      <c r="AV292" s="525"/>
      <c r="AW292" s="525"/>
      <c r="AX292" s="521"/>
      <c r="AY292" s="507"/>
      <c r="AZ292" s="511"/>
      <c r="BA292" s="511"/>
      <c r="BB292" s="511"/>
      <c r="BC292" s="517"/>
      <c r="BD292" s="189"/>
      <c r="BF292" s="445"/>
    </row>
    <row r="293" spans="1:60" ht="22.5" customHeight="1">
      <c r="A293" s="395">
        <v>4627186342388</v>
      </c>
      <c r="B293" s="108">
        <v>3983</v>
      </c>
      <c r="C293" s="369" t="s">
        <v>1670</v>
      </c>
      <c r="D293" s="249"/>
      <c r="E293" s="397"/>
      <c r="F293" s="249"/>
      <c r="G293" s="397"/>
      <c r="H293" s="397"/>
      <c r="I293" s="239"/>
      <c r="J293" s="104">
        <v>315</v>
      </c>
      <c r="K293" s="104">
        <f t="shared" ref="K293:K295" si="204">J293*F293</f>
        <v>0</v>
      </c>
      <c r="L293" s="104">
        <v>331</v>
      </c>
      <c r="M293" s="104">
        <f>L293*F293</f>
        <v>0</v>
      </c>
      <c r="N293" s="104">
        <v>347</v>
      </c>
      <c r="O293" s="104">
        <f>N293*F293</f>
        <v>0</v>
      </c>
      <c r="P293" s="104">
        <v>362</v>
      </c>
      <c r="Q293" s="104">
        <f t="shared" ref="Q293:Q295" si="205">P293*F293</f>
        <v>0</v>
      </c>
      <c r="R293" s="238">
        <v>394</v>
      </c>
      <c r="S293" s="104">
        <f t="shared" ref="S293:S295" si="206">R293*F293</f>
        <v>0</v>
      </c>
      <c r="T293" s="105">
        <v>270</v>
      </c>
      <c r="U293" s="105">
        <f t="shared" ref="U293:U295" si="207">T293*F293</f>
        <v>0</v>
      </c>
      <c r="V293" s="106"/>
      <c r="W293" s="301">
        <v>605</v>
      </c>
      <c r="Y293" s="567"/>
      <c r="Z293" s="189"/>
      <c r="AA293" s="541"/>
      <c r="AB293" s="537"/>
      <c r="AC293" s="537"/>
      <c r="AD293" s="718"/>
      <c r="AE293" s="718"/>
      <c r="AF293" s="700"/>
      <c r="AG293" s="700"/>
      <c r="AH293" s="547"/>
      <c r="AI293" s="676"/>
      <c r="AJ293" s="525"/>
      <c r="AK293" s="568"/>
      <c r="AM293" s="610"/>
      <c r="AN293" s="611"/>
      <c r="AO293" s="611"/>
      <c r="AP293" s="616"/>
      <c r="AQ293" s="637"/>
      <c r="AR293" s="621"/>
      <c r="AS293" s="618"/>
      <c r="AU293" s="525"/>
      <c r="AV293" s="525"/>
      <c r="AW293" s="525"/>
      <c r="AX293" s="521"/>
      <c r="AY293" s="507"/>
      <c r="AZ293" s="511"/>
      <c r="BA293" s="511"/>
      <c r="BB293" s="511"/>
      <c r="BC293" s="517"/>
      <c r="BD293" s="189"/>
      <c r="BF293" s="445"/>
    </row>
    <row r="294" spans="1:60" ht="22.5" customHeight="1">
      <c r="A294" s="395">
        <v>4627186342371</v>
      </c>
      <c r="B294" s="108">
        <v>3982</v>
      </c>
      <c r="C294" s="369" t="s">
        <v>1671</v>
      </c>
      <c r="D294" s="249"/>
      <c r="E294" s="397"/>
      <c r="F294" s="249"/>
      <c r="G294" s="397"/>
      <c r="H294" s="397"/>
      <c r="I294" s="239"/>
      <c r="J294" s="398">
        <v>315</v>
      </c>
      <c r="K294" s="104">
        <f t="shared" si="204"/>
        <v>0</v>
      </c>
      <c r="L294" s="238">
        <v>315</v>
      </c>
      <c r="M294" s="104">
        <f t="shared" ref="M294" si="208">L294*F294</f>
        <v>0</v>
      </c>
      <c r="N294" s="238">
        <v>347</v>
      </c>
      <c r="O294" s="104">
        <f t="shared" ref="O294" si="209">N294*F294</f>
        <v>0</v>
      </c>
      <c r="P294" s="238">
        <v>362</v>
      </c>
      <c r="Q294" s="104">
        <f t="shared" si="205"/>
        <v>0</v>
      </c>
      <c r="R294" s="238">
        <v>394</v>
      </c>
      <c r="S294" s="104">
        <f t="shared" si="206"/>
        <v>0</v>
      </c>
      <c r="T294" s="105">
        <v>280</v>
      </c>
      <c r="U294" s="105">
        <f t="shared" si="207"/>
        <v>0</v>
      </c>
      <c r="V294" s="106"/>
      <c r="W294" s="301">
        <v>605</v>
      </c>
      <c r="Y294" s="567"/>
      <c r="Z294" s="189"/>
      <c r="AA294" s="541"/>
      <c r="AB294" s="537"/>
      <c r="AC294" s="537"/>
      <c r="AD294" s="718"/>
      <c r="AE294" s="718"/>
      <c r="AF294" s="700"/>
      <c r="AG294" s="700"/>
      <c r="AH294" s="547"/>
      <c r="AI294" s="676"/>
      <c r="AJ294" s="525"/>
      <c r="AK294" s="568"/>
      <c r="AM294" s="610"/>
      <c r="AN294" s="611"/>
      <c r="AO294" s="611"/>
      <c r="AP294" s="616"/>
      <c r="AQ294" s="637"/>
      <c r="AR294" s="621"/>
      <c r="AS294" s="618"/>
      <c r="AU294" s="525"/>
      <c r="AV294" s="525"/>
      <c r="AW294" s="525"/>
      <c r="AX294" s="521"/>
      <c r="AY294" s="507"/>
      <c r="AZ294" s="511"/>
      <c r="BA294" s="511"/>
      <c r="BB294" s="511"/>
      <c r="BC294" s="517"/>
      <c r="BD294" s="189"/>
      <c r="BF294" s="445"/>
    </row>
    <row r="295" spans="1:60" ht="24" customHeight="1">
      <c r="A295" s="395">
        <v>4627186342425</v>
      </c>
      <c r="B295" s="108">
        <v>3991</v>
      </c>
      <c r="C295" s="369" t="s">
        <v>1672</v>
      </c>
      <c r="D295" s="249"/>
      <c r="E295" s="397"/>
      <c r="F295" s="249"/>
      <c r="G295" s="397"/>
      <c r="H295" s="397"/>
      <c r="I295" s="239"/>
      <c r="J295" s="398">
        <v>400</v>
      </c>
      <c r="K295" s="104">
        <f t="shared" si="204"/>
        <v>0</v>
      </c>
      <c r="L295" s="238">
        <v>420</v>
      </c>
      <c r="M295" s="104">
        <f t="shared" ref="M295" si="210">L295*F295</f>
        <v>0</v>
      </c>
      <c r="N295" s="238">
        <v>440</v>
      </c>
      <c r="O295" s="104">
        <f t="shared" ref="O295" si="211">N295*F295</f>
        <v>0</v>
      </c>
      <c r="P295" s="238">
        <v>460</v>
      </c>
      <c r="Q295" s="104">
        <f t="shared" si="205"/>
        <v>0</v>
      </c>
      <c r="R295" s="238">
        <v>500</v>
      </c>
      <c r="S295" s="104">
        <f t="shared" si="206"/>
        <v>0</v>
      </c>
      <c r="T295" s="105">
        <v>292</v>
      </c>
      <c r="U295" s="105">
        <f t="shared" si="207"/>
        <v>0</v>
      </c>
      <c r="V295" s="106"/>
      <c r="W295" s="301">
        <v>765</v>
      </c>
      <c r="Y295" s="567"/>
      <c r="Z295" s="189"/>
      <c r="AA295" s="541"/>
      <c r="AB295" s="537"/>
      <c r="AC295" s="537"/>
      <c r="AD295" s="718"/>
      <c r="AE295" s="718"/>
      <c r="AF295" s="700"/>
      <c r="AG295" s="700"/>
      <c r="AH295" s="547"/>
      <c r="AI295" s="676"/>
      <c r="AJ295" s="525"/>
      <c r="AK295" s="568"/>
      <c r="AM295" s="610"/>
      <c r="AN295" s="611"/>
      <c r="AO295" s="611"/>
      <c r="AP295" s="616"/>
      <c r="AQ295" s="637"/>
      <c r="AR295" s="621"/>
      <c r="AS295" s="618"/>
      <c r="AU295" s="525"/>
      <c r="AV295" s="525"/>
      <c r="AW295" s="525"/>
      <c r="AX295" s="521"/>
      <c r="AY295" s="507"/>
      <c r="AZ295" s="511"/>
      <c r="BA295" s="511"/>
      <c r="BB295" s="511"/>
      <c r="BC295" s="517"/>
      <c r="BD295" s="189"/>
      <c r="BF295" s="445"/>
    </row>
    <row r="296" spans="1:60" ht="27.75" customHeight="1">
      <c r="A296" s="395">
        <v>4627186344177</v>
      </c>
      <c r="B296" s="108">
        <v>4596</v>
      </c>
      <c r="C296" s="369" t="s">
        <v>1673</v>
      </c>
      <c r="D296" s="826"/>
      <c r="E296" s="110"/>
      <c r="F296" s="249"/>
      <c r="G296" s="397"/>
      <c r="H296" s="397"/>
      <c r="I296" s="239"/>
      <c r="J296" s="398">
        <v>365</v>
      </c>
      <c r="K296" s="104">
        <f>J296*F296</f>
        <v>0</v>
      </c>
      <c r="L296" s="238">
        <v>383</v>
      </c>
      <c r="M296" s="104">
        <f>L296*F296</f>
        <v>0</v>
      </c>
      <c r="N296" s="238">
        <v>402</v>
      </c>
      <c r="O296" s="104">
        <f>N296*F296</f>
        <v>0</v>
      </c>
      <c r="P296" s="238">
        <v>420</v>
      </c>
      <c r="Q296" s="104">
        <f>P296*F296</f>
        <v>0</v>
      </c>
      <c r="R296" s="238">
        <v>456</v>
      </c>
      <c r="S296" s="104">
        <f>R296*F296</f>
        <v>0</v>
      </c>
      <c r="T296" s="105"/>
      <c r="U296" s="105">
        <f>T296*F296</f>
        <v>0</v>
      </c>
      <c r="V296" s="106"/>
      <c r="W296" s="301">
        <v>690</v>
      </c>
      <c r="Y296" s="567"/>
      <c r="Z296" s="189"/>
      <c r="AA296" s="541" t="s">
        <v>1666</v>
      </c>
      <c r="AB296" s="537">
        <v>45233</v>
      </c>
      <c r="AC296" s="537">
        <v>47789</v>
      </c>
      <c r="AD296" s="718" t="s">
        <v>1674</v>
      </c>
      <c r="AE296" s="718"/>
      <c r="AF296" s="700"/>
      <c r="AG296" s="700"/>
      <c r="AH296" s="547"/>
      <c r="AI296" s="676"/>
      <c r="AJ296" s="525"/>
      <c r="AK296" s="568"/>
      <c r="AM296" s="610"/>
      <c r="AN296" s="611"/>
      <c r="AO296" s="611"/>
      <c r="AP296" s="616"/>
      <c r="AQ296" s="637"/>
      <c r="AR296" s="621"/>
      <c r="AS296" s="618"/>
      <c r="AU296" s="525"/>
      <c r="AV296" s="525"/>
      <c r="AW296" s="525"/>
      <c r="AX296" s="521"/>
      <c r="AY296" s="507"/>
      <c r="AZ296" s="511"/>
      <c r="BA296" s="511"/>
      <c r="BB296" s="511"/>
      <c r="BC296" s="517"/>
      <c r="BD296" s="189"/>
      <c r="BF296" s="445"/>
    </row>
    <row r="297" spans="1:60" ht="27.75" customHeight="1">
      <c r="A297" s="485" t="s">
        <v>156</v>
      </c>
      <c r="B297" s="333"/>
      <c r="C297" s="334" t="s">
        <v>1675</v>
      </c>
      <c r="D297" s="828"/>
      <c r="E297" s="335"/>
      <c r="F297" s="491"/>
      <c r="G297" s="362"/>
      <c r="H297" s="362"/>
      <c r="I297" s="356"/>
      <c r="J297" s="357"/>
      <c r="K297" s="488">
        <f>K298+K299+K300+K301+K302+K303</f>
        <v>0</v>
      </c>
      <c r="L297" s="489"/>
      <c r="M297" s="488">
        <f>M298+M299+M300+M301+M302+M303</f>
        <v>0</v>
      </c>
      <c r="N297" s="489"/>
      <c r="O297" s="488">
        <f>O298+O299+O300+O301+O302+O303</f>
        <v>0</v>
      </c>
      <c r="P297" s="489"/>
      <c r="Q297" s="488">
        <f>Q298+Q299+Q300+Q301+Q302+Q303</f>
        <v>0</v>
      </c>
      <c r="R297" s="489"/>
      <c r="S297" s="488">
        <f>S298+S299+S300+S301+S302+S303</f>
        <v>0</v>
      </c>
      <c r="T297" s="313"/>
      <c r="U297" s="313">
        <f>U298+U299+U300+U301+U302</f>
        <v>0</v>
      </c>
      <c r="V297" s="293"/>
      <c r="W297" s="293"/>
      <c r="Y297" s="562"/>
      <c r="Z297" s="293"/>
      <c r="AA297" s="772"/>
      <c r="AB297" s="543"/>
      <c r="AC297" s="543"/>
      <c r="AD297" s="716"/>
      <c r="AE297" s="716"/>
      <c r="AF297" s="701"/>
      <c r="AG297" s="701"/>
      <c r="AH297" s="546"/>
      <c r="AI297" s="675"/>
      <c r="AJ297" s="293"/>
      <c r="AK297" s="563"/>
      <c r="AL297" s="554"/>
      <c r="AM297" s="562"/>
      <c r="AN297" s="293"/>
      <c r="AO297" s="293"/>
      <c r="AP297" s="293"/>
      <c r="AQ297" s="293"/>
      <c r="AR297" s="293"/>
      <c r="AS297" s="563"/>
      <c r="AU297" s="293"/>
      <c r="AV297" s="293"/>
      <c r="AW297" s="293"/>
      <c r="AX297" s="293"/>
      <c r="AY297" s="293"/>
      <c r="AZ297" s="293"/>
      <c r="BA297" s="293"/>
      <c r="BB297" s="293"/>
      <c r="BC297" s="293"/>
      <c r="BD297" s="293"/>
      <c r="BF297" s="445"/>
    </row>
    <row r="298" spans="1:60" ht="21" customHeight="1">
      <c r="A298" s="116">
        <v>4627101827211</v>
      </c>
      <c r="B298" s="100">
        <v>2549</v>
      </c>
      <c r="C298" s="251" t="s">
        <v>1676</v>
      </c>
      <c r="D298" s="826"/>
      <c r="E298" s="110" t="s">
        <v>1677</v>
      </c>
      <c r="F298" s="248"/>
      <c r="G298" s="190"/>
      <c r="H298" s="190"/>
      <c r="I298" s="399"/>
      <c r="J298" s="238">
        <v>305</v>
      </c>
      <c r="K298" s="104">
        <f t="shared" ref="K298:K301" si="212">J298*F298</f>
        <v>0</v>
      </c>
      <c r="L298" s="238">
        <f>J298+J298*5%</f>
        <v>320.25</v>
      </c>
      <c r="M298" s="104">
        <f t="shared" ref="M298:M303" si="213">L298*F298</f>
        <v>0</v>
      </c>
      <c r="N298" s="238">
        <f>J298+J298*10%</f>
        <v>335.5</v>
      </c>
      <c r="O298" s="104">
        <f t="shared" ref="O298:O303" si="214">N298*F298</f>
        <v>0</v>
      </c>
      <c r="P298" s="238">
        <f>J298+J298*15%</f>
        <v>350.75</v>
      </c>
      <c r="Q298" s="104">
        <f t="shared" ref="Q298:Q303" si="215">P298*F298</f>
        <v>0</v>
      </c>
      <c r="R298" s="238">
        <f>J298+J298*25%</f>
        <v>381.25</v>
      </c>
      <c r="S298" s="104">
        <f t="shared" ref="S298:S303" si="216">R298*F298</f>
        <v>0</v>
      </c>
      <c r="T298" s="388">
        <v>384</v>
      </c>
      <c r="U298" s="388">
        <f t="shared" ref="U298:U301" si="217">T298*F298</f>
        <v>0</v>
      </c>
      <c r="V298" s="106"/>
      <c r="W298" s="400">
        <v>575</v>
      </c>
      <c r="Y298" s="567">
        <v>9</v>
      </c>
      <c r="Z298" s="189">
        <v>3</v>
      </c>
      <c r="AA298" s="541" t="s">
        <v>1678</v>
      </c>
      <c r="AB298" s="537">
        <v>44021</v>
      </c>
      <c r="AC298" s="537">
        <v>45846</v>
      </c>
      <c r="AD298" s="720" t="s">
        <v>1679</v>
      </c>
      <c r="AE298" s="718" t="s">
        <v>67</v>
      </c>
      <c r="AF298" s="702" t="s">
        <v>1680</v>
      </c>
      <c r="AG298" s="702" t="s">
        <v>1681</v>
      </c>
      <c r="AH298" s="547" t="s">
        <v>1682</v>
      </c>
      <c r="AI298" s="691" t="s">
        <v>1683</v>
      </c>
      <c r="AJ298" s="525" t="s">
        <v>1256</v>
      </c>
      <c r="AK298" s="568">
        <v>3305900009</v>
      </c>
      <c r="AM298" s="683" t="s">
        <v>1684</v>
      </c>
      <c r="AN298" s="685" t="s">
        <v>1685</v>
      </c>
      <c r="AO298" s="685" t="s">
        <v>1686</v>
      </c>
      <c r="AP298" s="616" t="s">
        <v>1687</v>
      </c>
      <c r="AQ298" s="637" t="s">
        <v>1688</v>
      </c>
      <c r="AR298" s="621"/>
      <c r="AS298" s="618"/>
      <c r="AU298" s="525"/>
      <c r="AV298" s="525"/>
      <c r="AW298" s="525"/>
      <c r="AX298" s="512">
        <f>226*50*50/1000000000</f>
        <v>5.6499999999999996E-4</v>
      </c>
      <c r="AY298" s="507" t="e">
        <f>AX298*#REF!</f>
        <v>#REF!</v>
      </c>
      <c r="AZ298" s="511">
        <v>23</v>
      </c>
      <c r="BA298" s="511">
        <v>11</v>
      </c>
      <c r="BB298" s="511">
        <v>20</v>
      </c>
      <c r="BC298" s="517"/>
      <c r="BD298" s="189"/>
      <c r="BF298" s="445"/>
      <c r="BG298" s="442"/>
      <c r="BH298" s="442"/>
    </row>
    <row r="299" spans="1:60" ht="18" customHeight="1">
      <c r="A299" s="116">
        <v>4627101827235</v>
      </c>
      <c r="B299" s="100">
        <v>2550</v>
      </c>
      <c r="C299" s="251" t="s">
        <v>1689</v>
      </c>
      <c r="D299" s="826"/>
      <c r="E299" s="110" t="s">
        <v>304</v>
      </c>
      <c r="F299" s="248"/>
      <c r="G299" s="190"/>
      <c r="H299" s="190"/>
      <c r="I299" s="399"/>
      <c r="J299" s="238">
        <v>295</v>
      </c>
      <c r="K299" s="104">
        <f t="shared" si="212"/>
        <v>0</v>
      </c>
      <c r="L299" s="238">
        <f t="shared" ref="L299:L303" si="218">J299+J299*5%</f>
        <v>309.75</v>
      </c>
      <c r="M299" s="104">
        <f t="shared" si="213"/>
        <v>0</v>
      </c>
      <c r="N299" s="238">
        <f t="shared" ref="N299:N303" si="219">J299+J299*10%</f>
        <v>324.5</v>
      </c>
      <c r="O299" s="104">
        <f t="shared" si="214"/>
        <v>0</v>
      </c>
      <c r="P299" s="238">
        <f t="shared" ref="P299:P303" si="220">J299+J299*15%</f>
        <v>339.25</v>
      </c>
      <c r="Q299" s="104">
        <f t="shared" si="215"/>
        <v>0</v>
      </c>
      <c r="R299" s="238">
        <f t="shared" ref="R299:R303" si="221">J299+J299*25%</f>
        <v>368.75</v>
      </c>
      <c r="S299" s="104">
        <f t="shared" si="216"/>
        <v>0</v>
      </c>
      <c r="T299" s="388">
        <v>185</v>
      </c>
      <c r="U299" s="388">
        <f t="shared" si="217"/>
        <v>0</v>
      </c>
      <c r="V299" s="106"/>
      <c r="W299" s="400">
        <v>560</v>
      </c>
      <c r="Y299" s="567">
        <v>18</v>
      </c>
      <c r="Z299" s="189">
        <v>3</v>
      </c>
      <c r="AA299" s="541" t="s">
        <v>1690</v>
      </c>
      <c r="AB299" s="537">
        <v>45148</v>
      </c>
      <c r="AC299" s="537">
        <v>47704</v>
      </c>
      <c r="AD299" s="720" t="s">
        <v>1691</v>
      </c>
      <c r="AE299" s="718" t="s">
        <v>141</v>
      </c>
      <c r="AF299" s="700" t="s">
        <v>1181</v>
      </c>
      <c r="AG299" s="700" t="s">
        <v>1313</v>
      </c>
      <c r="AH299" s="547" t="s">
        <v>1692</v>
      </c>
      <c r="AI299" s="707" t="s">
        <v>1693</v>
      </c>
      <c r="AJ299" s="189"/>
      <c r="AK299" s="568">
        <v>3305900009</v>
      </c>
      <c r="AM299" s="683" t="s">
        <v>1694</v>
      </c>
      <c r="AN299" s="685" t="s">
        <v>1695</v>
      </c>
      <c r="AO299" s="685" t="s">
        <v>1696</v>
      </c>
      <c r="AP299" s="616" t="s">
        <v>1697</v>
      </c>
      <c r="AQ299" s="637" t="s">
        <v>1698</v>
      </c>
      <c r="AR299" s="621"/>
      <c r="AS299" s="618"/>
      <c r="AU299" s="189"/>
      <c r="AV299" s="189"/>
      <c r="AW299" s="189"/>
      <c r="AX299" s="521" t="s">
        <v>1699</v>
      </c>
      <c r="AY299" s="507"/>
      <c r="AZ299" s="189"/>
      <c r="BA299" s="189"/>
      <c r="BB299" s="189"/>
      <c r="BC299" s="517"/>
      <c r="BD299" s="189"/>
      <c r="BF299" s="445"/>
      <c r="BG299" s="442"/>
      <c r="BH299" s="442"/>
    </row>
    <row r="300" spans="1:60" ht="27.75" customHeight="1">
      <c r="A300" s="116">
        <v>4627101827273</v>
      </c>
      <c r="B300" s="100">
        <v>2552</v>
      </c>
      <c r="C300" s="251" t="s">
        <v>1700</v>
      </c>
      <c r="D300" s="826"/>
      <c r="E300" s="110" t="s">
        <v>304</v>
      </c>
      <c r="F300" s="248"/>
      <c r="G300" s="190"/>
      <c r="H300" s="190"/>
      <c r="I300" s="399"/>
      <c r="J300" s="238">
        <v>320</v>
      </c>
      <c r="K300" s="104">
        <f t="shared" si="212"/>
        <v>0</v>
      </c>
      <c r="L300" s="238">
        <f t="shared" si="218"/>
        <v>336</v>
      </c>
      <c r="M300" s="104">
        <f t="shared" si="213"/>
        <v>0</v>
      </c>
      <c r="N300" s="238">
        <f t="shared" si="219"/>
        <v>352</v>
      </c>
      <c r="O300" s="104">
        <f t="shared" si="214"/>
        <v>0</v>
      </c>
      <c r="P300" s="238">
        <f t="shared" si="220"/>
        <v>368</v>
      </c>
      <c r="Q300" s="104">
        <f t="shared" si="215"/>
        <v>0</v>
      </c>
      <c r="R300" s="238">
        <f t="shared" si="221"/>
        <v>400</v>
      </c>
      <c r="S300" s="104">
        <f t="shared" si="216"/>
        <v>0</v>
      </c>
      <c r="T300" s="388">
        <v>170</v>
      </c>
      <c r="U300" s="388">
        <f t="shared" si="217"/>
        <v>0</v>
      </c>
      <c r="V300" s="106"/>
      <c r="W300" s="400">
        <v>605</v>
      </c>
      <c r="Y300" s="567">
        <v>12</v>
      </c>
      <c r="Z300" s="189">
        <v>3</v>
      </c>
      <c r="AA300" s="541" t="s">
        <v>1701</v>
      </c>
      <c r="AB300" s="537">
        <v>43654</v>
      </c>
      <c r="AC300" s="537">
        <v>45480</v>
      </c>
      <c r="AD300" s="900" t="s">
        <v>1702</v>
      </c>
      <c r="AE300" s="718" t="s">
        <v>141</v>
      </c>
      <c r="AF300" s="703" t="s">
        <v>1703</v>
      </c>
      <c r="AG300" s="703" t="s">
        <v>1320</v>
      </c>
      <c r="AH300" s="547" t="s">
        <v>1704</v>
      </c>
      <c r="AI300" s="691" t="s">
        <v>1705</v>
      </c>
      <c r="AJ300" s="525" t="s">
        <v>1256</v>
      </c>
      <c r="AK300" s="568">
        <v>3305900009</v>
      </c>
      <c r="AM300" s="683" t="s">
        <v>1706</v>
      </c>
      <c r="AN300" s="685" t="s">
        <v>1707</v>
      </c>
      <c r="AO300" s="685" t="s">
        <v>1708</v>
      </c>
      <c r="AP300" s="616" t="s">
        <v>1709</v>
      </c>
      <c r="AQ300" s="637" t="s">
        <v>1710</v>
      </c>
      <c r="AR300" s="621"/>
      <c r="AS300" s="618"/>
      <c r="AU300" s="525"/>
      <c r="AV300" s="525"/>
      <c r="AW300" s="525"/>
      <c r="AX300" s="521" t="s">
        <v>1711</v>
      </c>
      <c r="AY300" s="507"/>
      <c r="AZ300" s="511">
        <v>17</v>
      </c>
      <c r="BA300" s="511">
        <v>13</v>
      </c>
      <c r="BB300" s="511">
        <v>21</v>
      </c>
      <c r="BC300" s="517"/>
      <c r="BD300" s="189"/>
      <c r="BF300" s="445"/>
      <c r="BG300" s="442" t="s">
        <v>317</v>
      </c>
      <c r="BH300" s="442"/>
    </row>
    <row r="301" spans="1:60" ht="16.5" customHeight="1">
      <c r="A301" s="116">
        <v>4627101827259</v>
      </c>
      <c r="B301" s="100">
        <v>3439</v>
      </c>
      <c r="C301" s="251" t="s">
        <v>1712</v>
      </c>
      <c r="D301" s="826"/>
      <c r="E301" s="110" t="s">
        <v>1713</v>
      </c>
      <c r="F301" s="248"/>
      <c r="G301" s="190"/>
      <c r="H301" s="190"/>
      <c r="I301" s="399"/>
      <c r="J301" s="238">
        <v>1620</v>
      </c>
      <c r="K301" s="104">
        <f t="shared" si="212"/>
        <v>0</v>
      </c>
      <c r="L301" s="238">
        <f t="shared" si="218"/>
        <v>1701</v>
      </c>
      <c r="M301" s="104">
        <f t="shared" si="213"/>
        <v>0</v>
      </c>
      <c r="N301" s="238">
        <f t="shared" si="219"/>
        <v>1782</v>
      </c>
      <c r="O301" s="104">
        <f t="shared" si="214"/>
        <v>0</v>
      </c>
      <c r="P301" s="238">
        <f t="shared" si="220"/>
        <v>1863</v>
      </c>
      <c r="Q301" s="104">
        <f t="shared" si="215"/>
        <v>0</v>
      </c>
      <c r="R301" s="238">
        <f t="shared" si="221"/>
        <v>2025</v>
      </c>
      <c r="S301" s="104">
        <f t="shared" si="216"/>
        <v>0</v>
      </c>
      <c r="T301" s="388">
        <v>190</v>
      </c>
      <c r="U301" s="388">
        <f t="shared" si="217"/>
        <v>0</v>
      </c>
      <c r="V301" s="106"/>
      <c r="W301" s="400">
        <v>3100</v>
      </c>
      <c r="Y301" s="567">
        <v>12</v>
      </c>
      <c r="Z301" s="189">
        <v>3</v>
      </c>
      <c r="AA301" s="541" t="s">
        <v>1714</v>
      </c>
      <c r="AB301" s="537">
        <v>45154</v>
      </c>
      <c r="AC301" s="537">
        <v>47710</v>
      </c>
      <c r="AD301" s="717" t="s">
        <v>1715</v>
      </c>
      <c r="AE301" s="718" t="s">
        <v>141</v>
      </c>
      <c r="AF301" s="700" t="s">
        <v>1406</v>
      </c>
      <c r="AG301" s="700" t="s">
        <v>1022</v>
      </c>
      <c r="AH301" s="547" t="s">
        <v>1716</v>
      </c>
      <c r="AI301" s="706" t="s">
        <v>1717</v>
      </c>
      <c r="AJ301" s="189"/>
      <c r="AK301" s="568">
        <v>3305900009</v>
      </c>
      <c r="AM301" s="683" t="s">
        <v>1718</v>
      </c>
      <c r="AN301" s="685" t="s">
        <v>1719</v>
      </c>
      <c r="AO301" s="685" t="s">
        <v>1720</v>
      </c>
      <c r="AP301" s="616" t="s">
        <v>1721</v>
      </c>
      <c r="AQ301" s="637" t="s">
        <v>1722</v>
      </c>
      <c r="AR301" s="621"/>
      <c r="AS301" s="618"/>
      <c r="AU301" s="189"/>
      <c r="AV301" s="189"/>
      <c r="AW301" s="189"/>
      <c r="AX301" s="521">
        <f>135*45*45/1000000000</f>
        <v>2.7337500000000002E-4</v>
      </c>
      <c r="AY301" s="507" t="e">
        <f>AX301*#REF!</f>
        <v>#REF!</v>
      </c>
      <c r="AZ301" s="189"/>
      <c r="BA301" s="189"/>
      <c r="BB301" s="189"/>
      <c r="BC301" s="517"/>
      <c r="BD301" s="189"/>
      <c r="BF301" s="445"/>
      <c r="BG301" s="442" t="s">
        <v>353</v>
      </c>
      <c r="BH301" s="442" t="s">
        <v>354</v>
      </c>
    </row>
    <row r="302" spans="1:60" ht="20.25" customHeight="1">
      <c r="A302" s="116">
        <v>4627101827174</v>
      </c>
      <c r="B302" s="100">
        <v>2554</v>
      </c>
      <c r="C302" s="251" t="s">
        <v>1723</v>
      </c>
      <c r="D302" s="826"/>
      <c r="E302" s="110" t="s">
        <v>585</v>
      </c>
      <c r="F302" s="248"/>
      <c r="G302" s="190"/>
      <c r="H302" s="190"/>
      <c r="I302" s="399"/>
      <c r="J302" s="238">
        <v>360</v>
      </c>
      <c r="K302" s="104">
        <f t="shared" ref="K302:K303" si="222">J302*F302</f>
        <v>0</v>
      </c>
      <c r="L302" s="238">
        <f t="shared" si="218"/>
        <v>378</v>
      </c>
      <c r="M302" s="104">
        <f t="shared" si="213"/>
        <v>0</v>
      </c>
      <c r="N302" s="238">
        <f t="shared" si="219"/>
        <v>396</v>
      </c>
      <c r="O302" s="104">
        <f t="shared" si="214"/>
        <v>0</v>
      </c>
      <c r="P302" s="238">
        <f t="shared" si="220"/>
        <v>414</v>
      </c>
      <c r="Q302" s="104">
        <f t="shared" si="215"/>
        <v>0</v>
      </c>
      <c r="R302" s="238">
        <f t="shared" si="221"/>
        <v>450</v>
      </c>
      <c r="S302" s="104">
        <f t="shared" si="216"/>
        <v>0</v>
      </c>
      <c r="T302" s="388">
        <v>290</v>
      </c>
      <c r="U302" s="388">
        <f t="shared" ref="U302" si="223">T302*F302</f>
        <v>0</v>
      </c>
      <c r="V302" s="106"/>
      <c r="W302" s="400">
        <v>680</v>
      </c>
      <c r="Y302" s="567">
        <v>12</v>
      </c>
      <c r="Z302" s="189">
        <v>3</v>
      </c>
      <c r="AA302" s="541" t="s">
        <v>1724</v>
      </c>
      <c r="AB302" s="537">
        <v>45155</v>
      </c>
      <c r="AC302" s="537">
        <v>47711</v>
      </c>
      <c r="AD302" s="717" t="s">
        <v>1725</v>
      </c>
      <c r="AE302" s="718" t="s">
        <v>67</v>
      </c>
      <c r="AF302" s="700" t="s">
        <v>1181</v>
      </c>
      <c r="AG302" s="700" t="s">
        <v>1034</v>
      </c>
      <c r="AH302" s="547" t="s">
        <v>1726</v>
      </c>
      <c r="AI302" s="706" t="s">
        <v>1727</v>
      </c>
      <c r="AJ302" s="189"/>
      <c r="AK302" s="568">
        <v>3305100000</v>
      </c>
      <c r="AM302" s="683" t="s">
        <v>1728</v>
      </c>
      <c r="AN302" s="685" t="s">
        <v>1729</v>
      </c>
      <c r="AO302" s="685" t="s">
        <v>1730</v>
      </c>
      <c r="AP302" s="616" t="s">
        <v>1731</v>
      </c>
      <c r="AQ302" s="637" t="s">
        <v>1732</v>
      </c>
      <c r="AR302" s="621"/>
      <c r="AS302" s="618"/>
      <c r="AU302" s="189"/>
      <c r="AV302" s="189"/>
      <c r="AW302" s="189"/>
      <c r="AX302" s="521">
        <f>158*58*58/1000000000</f>
        <v>5.3151200000000004E-4</v>
      </c>
      <c r="AY302" s="507"/>
      <c r="AZ302" s="189"/>
      <c r="BA302" s="189"/>
      <c r="BB302" s="189"/>
      <c r="BC302" s="517"/>
      <c r="BD302" s="189"/>
      <c r="BF302" s="445"/>
      <c r="BG302" s="442"/>
      <c r="BH302" s="442"/>
    </row>
    <row r="303" spans="1:60" ht="20.25" customHeight="1">
      <c r="A303" s="116">
        <v>4627186341077</v>
      </c>
      <c r="B303" s="100">
        <v>3679</v>
      </c>
      <c r="C303" s="251" t="s">
        <v>1733</v>
      </c>
      <c r="D303" s="826"/>
      <c r="E303" s="110" t="s">
        <v>287</v>
      </c>
      <c r="F303" s="248"/>
      <c r="G303" s="190"/>
      <c r="H303" s="190"/>
      <c r="I303" s="399"/>
      <c r="J303" s="238">
        <v>170</v>
      </c>
      <c r="K303" s="104">
        <f t="shared" si="222"/>
        <v>0</v>
      </c>
      <c r="L303" s="238">
        <f t="shared" si="218"/>
        <v>178.5</v>
      </c>
      <c r="M303" s="104">
        <f t="shared" si="213"/>
        <v>0</v>
      </c>
      <c r="N303" s="238">
        <f t="shared" si="219"/>
        <v>187</v>
      </c>
      <c r="O303" s="104">
        <f t="shared" si="214"/>
        <v>0</v>
      </c>
      <c r="P303" s="238">
        <f t="shared" si="220"/>
        <v>195.5</v>
      </c>
      <c r="Q303" s="104">
        <f t="shared" si="215"/>
        <v>0</v>
      </c>
      <c r="R303" s="238">
        <f t="shared" si="221"/>
        <v>212.5</v>
      </c>
      <c r="S303" s="104">
        <f t="shared" si="216"/>
        <v>0</v>
      </c>
      <c r="T303" s="388"/>
      <c r="U303" s="388"/>
      <c r="V303" s="106"/>
      <c r="W303" s="400">
        <v>320</v>
      </c>
      <c r="Y303" s="567">
        <v>12</v>
      </c>
      <c r="Z303" s="189">
        <v>3</v>
      </c>
      <c r="AA303" s="541" t="s">
        <v>1724</v>
      </c>
      <c r="AB303" s="537">
        <v>45155</v>
      </c>
      <c r="AC303" s="537">
        <v>47711</v>
      </c>
      <c r="AD303" s="717" t="s">
        <v>1725</v>
      </c>
      <c r="AE303" s="718" t="s">
        <v>67</v>
      </c>
      <c r="AF303" s="700" t="s">
        <v>1181</v>
      </c>
      <c r="AG303" s="700" t="s">
        <v>1034</v>
      </c>
      <c r="AH303" s="547"/>
      <c r="AI303" s="706"/>
      <c r="AJ303" s="189"/>
      <c r="AK303" s="568">
        <v>3305100000</v>
      </c>
      <c r="AM303" s="683" t="s">
        <v>1728</v>
      </c>
      <c r="AN303" s="685" t="s">
        <v>1729</v>
      </c>
      <c r="AO303" s="685" t="s">
        <v>1730</v>
      </c>
      <c r="AP303" s="616" t="s">
        <v>1734</v>
      </c>
      <c r="AQ303" s="637"/>
      <c r="AR303" s="621"/>
      <c r="AS303" s="618"/>
      <c r="AU303" s="189"/>
      <c r="AV303" s="189"/>
      <c r="AW303" s="189"/>
      <c r="AX303" s="521"/>
      <c r="AY303" s="507"/>
      <c r="AZ303" s="189"/>
      <c r="BA303" s="189"/>
      <c r="BB303" s="189"/>
      <c r="BC303" s="517"/>
      <c r="BD303" s="189"/>
      <c r="BF303" s="445"/>
      <c r="BG303" s="442"/>
      <c r="BH303" s="442"/>
    </row>
    <row r="304" spans="1:60" ht="25.5" customHeight="1">
      <c r="A304" s="485" t="s">
        <v>156</v>
      </c>
      <c r="B304" s="333"/>
      <c r="C304" s="334" t="s">
        <v>1735</v>
      </c>
      <c r="D304" s="828"/>
      <c r="E304" s="335"/>
      <c r="F304" s="491"/>
      <c r="G304" s="362"/>
      <c r="H304" s="362"/>
      <c r="I304" s="356"/>
      <c r="J304" s="357"/>
      <c r="K304" s="488">
        <f>K305+K306+K307</f>
        <v>0</v>
      </c>
      <c r="L304" s="489"/>
      <c r="M304" s="488">
        <f>M305+M306+M307</f>
        <v>0</v>
      </c>
      <c r="N304" s="489"/>
      <c r="O304" s="488">
        <f>O305+O306+O307</f>
        <v>0</v>
      </c>
      <c r="P304" s="489"/>
      <c r="Q304" s="488">
        <f>Q305+Q306+Q307</f>
        <v>0</v>
      </c>
      <c r="R304" s="489"/>
      <c r="S304" s="488">
        <f>S305+S306+S307</f>
        <v>0</v>
      </c>
      <c r="T304" s="313"/>
      <c r="U304" s="313">
        <f>SUM(U305:U308)</f>
        <v>0</v>
      </c>
      <c r="V304" s="293"/>
      <c r="W304" s="293"/>
      <c r="Y304" s="562"/>
      <c r="Z304" s="293"/>
      <c r="AA304" s="772"/>
      <c r="AB304" s="543"/>
      <c r="AC304" s="543"/>
      <c r="AD304" s="716"/>
      <c r="AE304" s="716"/>
      <c r="AF304" s="701"/>
      <c r="AG304" s="701"/>
      <c r="AH304" s="546"/>
      <c r="AI304" s="675"/>
      <c r="AJ304" s="293"/>
      <c r="AK304" s="563"/>
      <c r="AL304" s="554"/>
      <c r="AM304" s="562"/>
      <c r="AN304" s="293"/>
      <c r="AO304" s="293"/>
      <c r="AP304" s="293"/>
      <c r="AQ304" s="293"/>
      <c r="AR304" s="293"/>
      <c r="AS304" s="563"/>
      <c r="AU304" s="293"/>
      <c r="AV304" s="293"/>
      <c r="AW304" s="293"/>
      <c r="AX304" s="293"/>
      <c r="AY304" s="293"/>
      <c r="AZ304" s="293"/>
      <c r="BA304" s="293"/>
      <c r="BB304" s="293"/>
      <c r="BC304" s="293"/>
      <c r="BD304" s="293"/>
      <c r="BF304" s="445"/>
    </row>
    <row r="305" spans="1:60" ht="18.75" customHeight="1">
      <c r="A305" s="116">
        <v>4627101820151</v>
      </c>
      <c r="B305" s="100">
        <v>2229</v>
      </c>
      <c r="C305" s="251" t="s">
        <v>1736</v>
      </c>
      <c r="D305" s="826"/>
      <c r="E305" s="110" t="s">
        <v>304</v>
      </c>
      <c r="F305" s="248"/>
      <c r="G305" s="190"/>
      <c r="H305" s="190"/>
      <c r="I305" s="238"/>
      <c r="J305" s="238">
        <v>355</v>
      </c>
      <c r="K305" s="104">
        <f t="shared" ref="K305:K307" si="224">J305*F305</f>
        <v>0</v>
      </c>
      <c r="L305" s="238">
        <f>J305+J305*5%</f>
        <v>372.75</v>
      </c>
      <c r="M305" s="104">
        <f t="shared" ref="M305:M307" si="225">F305*L305</f>
        <v>0</v>
      </c>
      <c r="N305" s="238">
        <f>J305+J305*10%</f>
        <v>390.5</v>
      </c>
      <c r="O305" s="104">
        <f t="shared" ref="O305:O307" si="226">F305*N305</f>
        <v>0</v>
      </c>
      <c r="P305" s="238">
        <f>J305+J305*15%</f>
        <v>408.25</v>
      </c>
      <c r="Q305" s="104">
        <f t="shared" ref="Q305:Q307" si="227">F305*P305</f>
        <v>0</v>
      </c>
      <c r="R305" s="238">
        <f>J305+J305*25%</f>
        <v>443.75</v>
      </c>
      <c r="S305" s="104">
        <f t="shared" ref="S305:S307" si="228">F305*R305</f>
        <v>0</v>
      </c>
      <c r="T305" s="105">
        <v>160</v>
      </c>
      <c r="U305" s="105">
        <f t="shared" ref="U305:U307" si="229">T305*F305</f>
        <v>0</v>
      </c>
      <c r="V305" s="106"/>
      <c r="W305" s="301">
        <v>670</v>
      </c>
      <c r="Y305" s="567">
        <v>9</v>
      </c>
      <c r="Z305" s="189">
        <v>3</v>
      </c>
      <c r="AA305" s="541" t="s">
        <v>1701</v>
      </c>
      <c r="AB305" s="537">
        <v>43654</v>
      </c>
      <c r="AC305" s="537">
        <v>45480</v>
      </c>
      <c r="AD305" s="718" t="s">
        <v>1737</v>
      </c>
      <c r="AE305" s="718" t="s">
        <v>67</v>
      </c>
      <c r="AF305" s="700"/>
      <c r="AG305" s="700"/>
      <c r="AH305" s="547" t="s">
        <v>1711</v>
      </c>
      <c r="AI305" s="678" t="s">
        <v>1738</v>
      </c>
      <c r="AJ305" s="525" t="s">
        <v>1256</v>
      </c>
      <c r="AK305" s="568">
        <v>3305900009</v>
      </c>
      <c r="AM305" s="610" t="s">
        <v>1739</v>
      </c>
      <c r="AN305" s="611" t="s">
        <v>1740</v>
      </c>
      <c r="AO305" s="611" t="s">
        <v>1741</v>
      </c>
      <c r="AP305" s="616" t="s">
        <v>1742</v>
      </c>
      <c r="AQ305" s="637" t="s">
        <v>1743</v>
      </c>
      <c r="AR305" s="621"/>
      <c r="AS305" s="618"/>
      <c r="AU305" s="525"/>
      <c r="AV305" s="525"/>
      <c r="AW305" s="525"/>
      <c r="AX305" s="521" t="s">
        <v>1711</v>
      </c>
      <c r="AY305" s="507"/>
      <c r="AZ305" s="511">
        <v>17</v>
      </c>
      <c r="BA305" s="511">
        <v>13</v>
      </c>
      <c r="BB305" s="511">
        <v>21</v>
      </c>
      <c r="BC305" s="517"/>
      <c r="BD305" s="189"/>
      <c r="BF305" s="445"/>
      <c r="BG305" s="442" t="s">
        <v>317</v>
      </c>
      <c r="BH305" s="442"/>
    </row>
    <row r="306" spans="1:60" ht="20.25" customHeight="1">
      <c r="A306" s="116">
        <v>4627101820182</v>
      </c>
      <c r="B306" s="100">
        <v>1321</v>
      </c>
      <c r="C306" s="251" t="s">
        <v>1744</v>
      </c>
      <c r="D306" s="826"/>
      <c r="E306" s="110" t="s">
        <v>304</v>
      </c>
      <c r="F306" s="248"/>
      <c r="G306" s="190"/>
      <c r="H306" s="190"/>
      <c r="I306" s="238"/>
      <c r="J306" s="238">
        <v>330</v>
      </c>
      <c r="K306" s="104">
        <f t="shared" si="224"/>
        <v>0</v>
      </c>
      <c r="L306" s="238">
        <f t="shared" ref="L306:L307" si="230">J306+J306*5%</f>
        <v>346.5</v>
      </c>
      <c r="M306" s="104">
        <f t="shared" si="225"/>
        <v>0</v>
      </c>
      <c r="N306" s="238">
        <f t="shared" ref="N306:N307" si="231">J306+J306*10%</f>
        <v>363</v>
      </c>
      <c r="O306" s="104">
        <f t="shared" si="226"/>
        <v>0</v>
      </c>
      <c r="P306" s="238">
        <f t="shared" ref="P306:P307" si="232">J306+J306*15%</f>
        <v>379.5</v>
      </c>
      <c r="Q306" s="104">
        <f t="shared" si="227"/>
        <v>0</v>
      </c>
      <c r="R306" s="238">
        <f t="shared" ref="R306:R307" si="233">J306+J306*25%</f>
        <v>412.5</v>
      </c>
      <c r="S306" s="104">
        <f t="shared" si="228"/>
        <v>0</v>
      </c>
      <c r="T306" s="105">
        <v>160</v>
      </c>
      <c r="U306" s="105">
        <f t="shared" si="229"/>
        <v>0</v>
      </c>
      <c r="V306" s="106"/>
      <c r="W306" s="301">
        <v>625</v>
      </c>
      <c r="Y306" s="567">
        <v>9</v>
      </c>
      <c r="Z306" s="189">
        <v>3</v>
      </c>
      <c r="AA306" s="541" t="s">
        <v>1701</v>
      </c>
      <c r="AB306" s="537">
        <v>43654</v>
      </c>
      <c r="AC306" s="537">
        <v>45480</v>
      </c>
      <c r="AD306" s="718" t="s">
        <v>1737</v>
      </c>
      <c r="AE306" s="718" t="s">
        <v>67</v>
      </c>
      <c r="AF306" s="700"/>
      <c r="AG306" s="700"/>
      <c r="AH306" s="547" t="s">
        <v>1711</v>
      </c>
      <c r="AI306" s="678" t="s">
        <v>1738</v>
      </c>
      <c r="AJ306" s="525" t="s">
        <v>1256</v>
      </c>
      <c r="AK306" s="568">
        <v>3305900009</v>
      </c>
      <c r="AM306" s="610" t="s">
        <v>1745</v>
      </c>
      <c r="AN306" s="611" t="s">
        <v>1746</v>
      </c>
      <c r="AO306" s="611" t="s">
        <v>1747</v>
      </c>
      <c r="AP306" s="616" t="s">
        <v>1748</v>
      </c>
      <c r="AQ306" s="637" t="s">
        <v>1749</v>
      </c>
      <c r="AR306" s="621"/>
      <c r="AS306" s="618"/>
      <c r="AU306" s="525"/>
      <c r="AV306" s="525"/>
      <c r="AW306" s="525"/>
      <c r="AX306" s="521" t="s">
        <v>1711</v>
      </c>
      <c r="AY306" s="507"/>
      <c r="AZ306" s="511">
        <v>17</v>
      </c>
      <c r="BA306" s="511">
        <v>13</v>
      </c>
      <c r="BB306" s="511">
        <v>21</v>
      </c>
      <c r="BC306" s="517"/>
      <c r="BD306" s="189"/>
      <c r="BF306" s="445"/>
      <c r="BG306" s="442" t="s">
        <v>317</v>
      </c>
      <c r="BH306" s="442"/>
    </row>
    <row r="307" spans="1:60" ht="20.25" customHeight="1">
      <c r="A307" s="116">
        <v>4620748861211</v>
      </c>
      <c r="B307" s="100">
        <v>1154</v>
      </c>
      <c r="C307" s="251" t="s">
        <v>1750</v>
      </c>
      <c r="D307" s="826"/>
      <c r="E307" s="110" t="s">
        <v>1677</v>
      </c>
      <c r="F307" s="249"/>
      <c r="G307" s="190"/>
      <c r="H307" s="190"/>
      <c r="I307" s="238"/>
      <c r="J307" s="238">
        <v>295</v>
      </c>
      <c r="K307" s="104">
        <f t="shared" si="224"/>
        <v>0</v>
      </c>
      <c r="L307" s="238">
        <f t="shared" si="230"/>
        <v>309.75</v>
      </c>
      <c r="M307" s="104">
        <f t="shared" si="225"/>
        <v>0</v>
      </c>
      <c r="N307" s="238">
        <f t="shared" si="231"/>
        <v>324.5</v>
      </c>
      <c r="O307" s="104">
        <f t="shared" si="226"/>
        <v>0</v>
      </c>
      <c r="P307" s="238">
        <f t="shared" si="232"/>
        <v>339.25</v>
      </c>
      <c r="Q307" s="104">
        <f t="shared" si="227"/>
        <v>0</v>
      </c>
      <c r="R307" s="238">
        <f t="shared" si="233"/>
        <v>368.75</v>
      </c>
      <c r="S307" s="104">
        <f t="shared" si="228"/>
        <v>0</v>
      </c>
      <c r="T307" s="105">
        <v>365</v>
      </c>
      <c r="U307" s="105">
        <f t="shared" si="229"/>
        <v>0</v>
      </c>
      <c r="V307" s="106"/>
      <c r="W307" s="301">
        <v>560</v>
      </c>
      <c r="Y307" s="567">
        <v>6</v>
      </c>
      <c r="Z307" s="189">
        <v>3</v>
      </c>
      <c r="AA307" s="541" t="s">
        <v>1678</v>
      </c>
      <c r="AB307" s="537">
        <v>44021</v>
      </c>
      <c r="AC307" s="537">
        <v>45846</v>
      </c>
      <c r="AD307" s="768" t="s">
        <v>1751</v>
      </c>
      <c r="AE307" s="718" t="s">
        <v>67</v>
      </c>
      <c r="AF307" s="700"/>
      <c r="AG307" s="700"/>
      <c r="AH307" s="547" t="s">
        <v>1682</v>
      </c>
      <c r="AI307" s="678" t="s">
        <v>1738</v>
      </c>
      <c r="AJ307" s="525" t="s">
        <v>1256</v>
      </c>
      <c r="AK307" s="568">
        <v>3305900009</v>
      </c>
      <c r="AM307" s="610" t="s">
        <v>1752</v>
      </c>
      <c r="AN307" s="611" t="s">
        <v>1753</v>
      </c>
      <c r="AO307" s="611" t="s">
        <v>1754</v>
      </c>
      <c r="AP307" s="616" t="s">
        <v>1755</v>
      </c>
      <c r="AQ307" s="637" t="s">
        <v>1756</v>
      </c>
      <c r="AR307" s="621"/>
      <c r="AS307" s="618"/>
      <c r="AU307" s="525"/>
      <c r="AV307" s="525"/>
      <c r="AW307" s="525"/>
      <c r="AX307" s="512">
        <f>226*50*50/1000000000</f>
        <v>5.6499999999999996E-4</v>
      </c>
      <c r="AY307" s="507" t="e">
        <f>AX307*#REF!</f>
        <v>#REF!</v>
      </c>
      <c r="AZ307" s="511">
        <v>23</v>
      </c>
      <c r="BA307" s="511">
        <v>11</v>
      </c>
      <c r="BB307" s="511">
        <v>20</v>
      </c>
      <c r="BC307" s="517"/>
      <c r="BD307" s="189"/>
      <c r="BF307" s="4"/>
    </row>
    <row r="308" spans="1:60" ht="27" customHeight="1">
      <c r="A308" s="485" t="s">
        <v>156</v>
      </c>
      <c r="B308" s="333"/>
      <c r="C308" s="334" t="s">
        <v>1757</v>
      </c>
      <c r="D308" s="828"/>
      <c r="E308" s="335"/>
      <c r="F308" s="491"/>
      <c r="G308" s="360"/>
      <c r="H308" s="360" t="s">
        <v>1758</v>
      </c>
      <c r="I308" s="289"/>
      <c r="J308" s="357"/>
      <c r="K308" s="488">
        <f>SUM(K309:K315)</f>
        <v>0</v>
      </c>
      <c r="L308" s="489"/>
      <c r="M308" s="488">
        <f>SUM(M309:M315)</f>
        <v>0</v>
      </c>
      <c r="N308" s="489"/>
      <c r="O308" s="488">
        <f>SUM(O309:O315)</f>
        <v>0</v>
      </c>
      <c r="P308" s="489"/>
      <c r="Q308" s="488">
        <f>SUM(Q309:Q315)</f>
        <v>0</v>
      </c>
      <c r="R308" s="489"/>
      <c r="S308" s="488">
        <f>SUM(S309:S315)</f>
        <v>0</v>
      </c>
      <c r="T308" s="313"/>
      <c r="U308" s="313">
        <f>SUM(U309:U315)</f>
        <v>0</v>
      </c>
      <c r="V308" s="293"/>
      <c r="W308" s="293"/>
      <c r="Y308" s="562"/>
      <c r="Z308" s="293"/>
      <c r="AA308" s="772"/>
      <c r="AB308" s="543"/>
      <c r="AC308" s="543"/>
      <c r="AD308" s="716"/>
      <c r="AE308" s="716"/>
      <c r="AF308" s="701"/>
      <c r="AG308" s="701"/>
      <c r="AH308" s="546"/>
      <c r="AI308" s="675"/>
      <c r="AJ308" s="293"/>
      <c r="AK308" s="563"/>
      <c r="AL308" s="554"/>
      <c r="AM308" s="562"/>
      <c r="AN308" s="293"/>
      <c r="AO308" s="293"/>
      <c r="AP308" s="293"/>
      <c r="AQ308" s="293"/>
      <c r="AR308" s="293"/>
      <c r="AS308" s="563"/>
      <c r="AU308" s="293"/>
      <c r="AV308" s="293"/>
      <c r="AW308" s="293"/>
      <c r="AX308" s="293"/>
      <c r="AY308" s="293"/>
      <c r="AZ308" s="293"/>
      <c r="BA308" s="293"/>
      <c r="BB308" s="293"/>
      <c r="BC308" s="293"/>
      <c r="BD308" s="293"/>
      <c r="BF308" s="445"/>
    </row>
    <row r="309" spans="1:60" ht="16.5" customHeight="1">
      <c r="A309" s="116">
        <v>4627101821790</v>
      </c>
      <c r="B309" s="100">
        <v>1378</v>
      </c>
      <c r="C309" s="251" t="s">
        <v>1759</v>
      </c>
      <c r="D309" s="826"/>
      <c r="E309" s="110" t="s">
        <v>682</v>
      </c>
      <c r="F309" s="248"/>
      <c r="G309" s="190"/>
      <c r="H309" s="190"/>
      <c r="I309" s="238"/>
      <c r="J309" s="238">
        <v>130</v>
      </c>
      <c r="K309" s="104">
        <f t="shared" ref="K309:K315" si="234">J309*F309</f>
        <v>0</v>
      </c>
      <c r="L309" s="238">
        <f>J309+J309*5%</f>
        <v>136.5</v>
      </c>
      <c r="M309" s="104">
        <f t="shared" ref="M309:M315" si="235">F309*L309</f>
        <v>0</v>
      </c>
      <c r="N309" s="238">
        <f>J309+J309*10%</f>
        <v>143</v>
      </c>
      <c r="O309" s="104">
        <f t="shared" ref="O309:O315" si="236">F309*N309</f>
        <v>0</v>
      </c>
      <c r="P309" s="238">
        <f>J309+J309*15%</f>
        <v>149.5</v>
      </c>
      <c r="Q309" s="104">
        <f t="shared" ref="Q309:Q315" si="237">F309*P309</f>
        <v>0</v>
      </c>
      <c r="R309" s="238">
        <f>J309+J309*25%</f>
        <v>162.5</v>
      </c>
      <c r="S309" s="104">
        <f t="shared" ref="S309:S315" si="238">F309*R309</f>
        <v>0</v>
      </c>
      <c r="T309" s="105">
        <v>95</v>
      </c>
      <c r="U309" s="105">
        <f t="shared" ref="U309:U315" si="239">T309*F309</f>
        <v>0</v>
      </c>
      <c r="V309" s="106"/>
      <c r="W309" s="301">
        <v>250</v>
      </c>
      <c r="Y309" s="567">
        <v>12</v>
      </c>
      <c r="Z309" s="189"/>
      <c r="AA309" s="541" t="s">
        <v>123</v>
      </c>
      <c r="AB309" s="537">
        <v>44193</v>
      </c>
      <c r="AC309" s="537">
        <v>46018</v>
      </c>
      <c r="AD309" s="768" t="s">
        <v>1760</v>
      </c>
      <c r="AE309" s="718" t="s">
        <v>67</v>
      </c>
      <c r="AF309" s="700"/>
      <c r="AG309" s="700"/>
      <c r="AH309" s="547" t="s">
        <v>683</v>
      </c>
      <c r="AI309" s="478"/>
      <c r="AJ309" s="189"/>
      <c r="AK309" s="568">
        <v>3401110001</v>
      </c>
      <c r="AM309" s="610" t="s">
        <v>1761</v>
      </c>
      <c r="AN309" s="611" t="s">
        <v>1762</v>
      </c>
      <c r="AO309" s="611" t="s">
        <v>1763</v>
      </c>
      <c r="AP309" s="616" t="s">
        <v>1764</v>
      </c>
      <c r="AQ309" s="617" t="s">
        <v>1765</v>
      </c>
      <c r="AR309" s="621"/>
      <c r="AS309" s="618"/>
      <c r="AU309" s="189"/>
      <c r="AV309" s="189"/>
      <c r="AW309" s="189"/>
      <c r="AX309" s="512">
        <f t="shared" ref="AX309:AX315" si="240">88*54*26/1000000000</f>
        <v>1.23552E-4</v>
      </c>
      <c r="AY309" s="507" t="e">
        <f>AX309*#REF!</f>
        <v>#REF!</v>
      </c>
      <c r="AZ309" s="189"/>
      <c r="BA309" s="189"/>
      <c r="BB309" s="189"/>
      <c r="BC309" s="517"/>
      <c r="BD309" s="189"/>
      <c r="BF309" s="445"/>
    </row>
    <row r="310" spans="1:60" ht="16.5" customHeight="1">
      <c r="A310" s="116">
        <v>4627101821783</v>
      </c>
      <c r="B310" s="100">
        <v>1379</v>
      </c>
      <c r="C310" s="251" t="s">
        <v>1766</v>
      </c>
      <c r="D310" s="826"/>
      <c r="E310" s="110" t="s">
        <v>682</v>
      </c>
      <c r="F310" s="248"/>
      <c r="G310" s="190"/>
      <c r="H310" s="190"/>
      <c r="I310" s="238"/>
      <c r="J310" s="238">
        <v>130</v>
      </c>
      <c r="K310" s="104">
        <f t="shared" si="234"/>
        <v>0</v>
      </c>
      <c r="L310" s="238">
        <f t="shared" ref="L310:L315" si="241">J310+J310*5%</f>
        <v>136.5</v>
      </c>
      <c r="M310" s="104">
        <f t="shared" si="235"/>
        <v>0</v>
      </c>
      <c r="N310" s="238">
        <f t="shared" ref="N310:N315" si="242">J310+J310*10%</f>
        <v>143</v>
      </c>
      <c r="O310" s="104">
        <f t="shared" si="236"/>
        <v>0</v>
      </c>
      <c r="P310" s="238">
        <f t="shared" ref="P310:P315" si="243">J310+J310*15%</f>
        <v>149.5</v>
      </c>
      <c r="Q310" s="104">
        <f t="shared" si="237"/>
        <v>0</v>
      </c>
      <c r="R310" s="238">
        <f t="shared" ref="R310:R315" si="244">J310+J310*25%</f>
        <v>162.5</v>
      </c>
      <c r="S310" s="104">
        <f t="shared" si="238"/>
        <v>0</v>
      </c>
      <c r="T310" s="105">
        <v>95</v>
      </c>
      <c r="U310" s="105">
        <f t="shared" si="239"/>
        <v>0</v>
      </c>
      <c r="V310" s="106"/>
      <c r="W310" s="301">
        <v>250</v>
      </c>
      <c r="Y310" s="567">
        <v>12</v>
      </c>
      <c r="Z310" s="189"/>
      <c r="AA310" s="541" t="s">
        <v>123</v>
      </c>
      <c r="AB310" s="537">
        <v>44193</v>
      </c>
      <c r="AC310" s="537">
        <v>46018</v>
      </c>
      <c r="AD310" s="768" t="s">
        <v>1767</v>
      </c>
      <c r="AE310" s="718" t="s">
        <v>67</v>
      </c>
      <c r="AF310" s="700"/>
      <c r="AG310" s="700"/>
      <c r="AH310" s="547" t="s">
        <v>683</v>
      </c>
      <c r="AI310" s="478"/>
      <c r="AJ310" s="189"/>
      <c r="AK310" s="568">
        <v>3401110001</v>
      </c>
      <c r="AM310" s="610" t="s">
        <v>1768</v>
      </c>
      <c r="AN310" s="611" t="s">
        <v>1769</v>
      </c>
      <c r="AO310" s="611" t="s">
        <v>1763</v>
      </c>
      <c r="AP310" s="616" t="s">
        <v>1770</v>
      </c>
      <c r="AQ310" s="637" t="s">
        <v>1771</v>
      </c>
      <c r="AR310" s="621"/>
      <c r="AS310" s="618"/>
      <c r="AU310" s="189"/>
      <c r="AV310" s="189"/>
      <c r="AW310" s="189"/>
      <c r="AX310" s="512">
        <f t="shared" si="240"/>
        <v>1.23552E-4</v>
      </c>
      <c r="AY310" s="507" t="e">
        <f>AX310*#REF!</f>
        <v>#REF!</v>
      </c>
      <c r="AZ310" s="189"/>
      <c r="BA310" s="189"/>
      <c r="BB310" s="189"/>
      <c r="BC310" s="517"/>
      <c r="BD310" s="189"/>
      <c r="BF310" s="445"/>
    </row>
    <row r="311" spans="1:60" ht="16.5" customHeight="1">
      <c r="A311" s="116">
        <v>4627101821769</v>
      </c>
      <c r="B311" s="100">
        <v>1380</v>
      </c>
      <c r="C311" s="251" t="s">
        <v>1772</v>
      </c>
      <c r="D311" s="826"/>
      <c r="E311" s="110" t="s">
        <v>682</v>
      </c>
      <c r="F311" s="248"/>
      <c r="G311" s="190"/>
      <c r="H311" s="190"/>
      <c r="I311" s="238"/>
      <c r="J311" s="238">
        <v>130</v>
      </c>
      <c r="K311" s="104">
        <f t="shared" si="234"/>
        <v>0</v>
      </c>
      <c r="L311" s="238">
        <f t="shared" si="241"/>
        <v>136.5</v>
      </c>
      <c r="M311" s="104">
        <f t="shared" si="235"/>
        <v>0</v>
      </c>
      <c r="N311" s="238">
        <f t="shared" si="242"/>
        <v>143</v>
      </c>
      <c r="O311" s="104">
        <f t="shared" si="236"/>
        <v>0</v>
      </c>
      <c r="P311" s="238">
        <f t="shared" si="243"/>
        <v>149.5</v>
      </c>
      <c r="Q311" s="104">
        <f t="shared" si="237"/>
        <v>0</v>
      </c>
      <c r="R311" s="238">
        <f t="shared" si="244"/>
        <v>162.5</v>
      </c>
      <c r="S311" s="104">
        <f t="shared" si="238"/>
        <v>0</v>
      </c>
      <c r="T311" s="105">
        <v>95</v>
      </c>
      <c r="U311" s="105">
        <f t="shared" si="239"/>
        <v>0</v>
      </c>
      <c r="V311" s="106"/>
      <c r="W311" s="301">
        <v>250</v>
      </c>
      <c r="Y311" s="567">
        <v>12</v>
      </c>
      <c r="Z311" s="189"/>
      <c r="AA311" s="541" t="s">
        <v>123</v>
      </c>
      <c r="AB311" s="537">
        <v>44193</v>
      </c>
      <c r="AC311" s="537">
        <v>46018</v>
      </c>
      <c r="AD311" s="768" t="s">
        <v>1773</v>
      </c>
      <c r="AE311" s="718" t="s">
        <v>67</v>
      </c>
      <c r="AF311" s="700"/>
      <c r="AG311" s="700"/>
      <c r="AH311" s="547" t="s">
        <v>683</v>
      </c>
      <c r="AI311" s="478"/>
      <c r="AJ311" s="189"/>
      <c r="AK311" s="568">
        <v>3401110001</v>
      </c>
      <c r="AM311" s="610" t="s">
        <v>1774</v>
      </c>
      <c r="AN311" s="611" t="s">
        <v>1775</v>
      </c>
      <c r="AO311" s="611" t="s">
        <v>1763</v>
      </c>
      <c r="AP311" s="616" t="s">
        <v>1776</v>
      </c>
      <c r="AQ311" s="637" t="s">
        <v>1777</v>
      </c>
      <c r="AR311" s="621"/>
      <c r="AS311" s="618"/>
      <c r="AU311" s="189"/>
      <c r="AV311" s="189"/>
      <c r="AW311" s="189"/>
      <c r="AX311" s="512">
        <f t="shared" si="240"/>
        <v>1.23552E-4</v>
      </c>
      <c r="AY311" s="507" t="e">
        <f>AX311*#REF!</f>
        <v>#REF!</v>
      </c>
      <c r="AZ311" s="189"/>
      <c r="BA311" s="189"/>
      <c r="BB311" s="189"/>
      <c r="BC311" s="517"/>
      <c r="BD311" s="189"/>
      <c r="BF311" s="445"/>
    </row>
    <row r="312" spans="1:60" ht="16.5" customHeight="1">
      <c r="A312" s="116">
        <v>4627101821745</v>
      </c>
      <c r="B312" s="100">
        <v>1381</v>
      </c>
      <c r="C312" s="251" t="s">
        <v>1778</v>
      </c>
      <c r="D312" s="826"/>
      <c r="E312" s="110" t="s">
        <v>682</v>
      </c>
      <c r="F312" s="248"/>
      <c r="G312" s="190"/>
      <c r="H312" s="190"/>
      <c r="I312" s="238"/>
      <c r="J312" s="238">
        <v>130</v>
      </c>
      <c r="K312" s="104">
        <f t="shared" si="234"/>
        <v>0</v>
      </c>
      <c r="L312" s="238">
        <f t="shared" si="241"/>
        <v>136.5</v>
      </c>
      <c r="M312" s="104">
        <f t="shared" si="235"/>
        <v>0</v>
      </c>
      <c r="N312" s="238">
        <f t="shared" si="242"/>
        <v>143</v>
      </c>
      <c r="O312" s="104">
        <f t="shared" si="236"/>
        <v>0</v>
      </c>
      <c r="P312" s="238">
        <f t="shared" si="243"/>
        <v>149.5</v>
      </c>
      <c r="Q312" s="104">
        <f t="shared" si="237"/>
        <v>0</v>
      </c>
      <c r="R312" s="238">
        <f t="shared" si="244"/>
        <v>162.5</v>
      </c>
      <c r="S312" s="104">
        <f t="shared" si="238"/>
        <v>0</v>
      </c>
      <c r="T312" s="105">
        <v>95</v>
      </c>
      <c r="U312" s="105">
        <f t="shared" si="239"/>
        <v>0</v>
      </c>
      <c r="V312" s="106"/>
      <c r="W312" s="301">
        <v>250</v>
      </c>
      <c r="Y312" s="567">
        <v>12</v>
      </c>
      <c r="Z312" s="189"/>
      <c r="AA312" s="541" t="s">
        <v>123</v>
      </c>
      <c r="AB312" s="537">
        <v>44193</v>
      </c>
      <c r="AC312" s="537">
        <v>46018</v>
      </c>
      <c r="AD312" s="768" t="s">
        <v>1779</v>
      </c>
      <c r="AE312" s="718" t="s">
        <v>67</v>
      </c>
      <c r="AF312" s="700"/>
      <c r="AG312" s="700"/>
      <c r="AH312" s="547" t="s">
        <v>683</v>
      </c>
      <c r="AI312" s="478"/>
      <c r="AJ312" s="189"/>
      <c r="AK312" s="568">
        <v>3401110001</v>
      </c>
      <c r="AM312" s="610" t="s">
        <v>1780</v>
      </c>
      <c r="AN312" s="611" t="s">
        <v>1781</v>
      </c>
      <c r="AO312" s="611" t="s">
        <v>1763</v>
      </c>
      <c r="AP312" s="616" t="s">
        <v>1782</v>
      </c>
      <c r="AQ312" s="637" t="s">
        <v>1783</v>
      </c>
      <c r="AR312" s="621"/>
      <c r="AS312" s="618"/>
      <c r="AU312" s="189"/>
      <c r="AV312" s="189"/>
      <c r="AW312" s="189"/>
      <c r="AX312" s="512">
        <f t="shared" si="240"/>
        <v>1.23552E-4</v>
      </c>
      <c r="AY312" s="507" t="e">
        <f>AX312*#REF!</f>
        <v>#REF!</v>
      </c>
      <c r="AZ312" s="189"/>
      <c r="BA312" s="189"/>
      <c r="BB312" s="189"/>
      <c r="BC312" s="517"/>
      <c r="BD312" s="189"/>
      <c r="BF312" s="445"/>
    </row>
    <row r="313" spans="1:60" ht="16.5" customHeight="1">
      <c r="A313" s="116">
        <v>4627101821776</v>
      </c>
      <c r="B313" s="100">
        <v>1382</v>
      </c>
      <c r="C313" s="251" t="s">
        <v>1784</v>
      </c>
      <c r="D313" s="826"/>
      <c r="E313" s="110" t="s">
        <v>682</v>
      </c>
      <c r="F313" s="248"/>
      <c r="G313" s="190"/>
      <c r="H313" s="190"/>
      <c r="I313" s="238"/>
      <c r="J313" s="238">
        <v>130</v>
      </c>
      <c r="K313" s="104">
        <f t="shared" si="234"/>
        <v>0</v>
      </c>
      <c r="L313" s="238">
        <f t="shared" si="241"/>
        <v>136.5</v>
      </c>
      <c r="M313" s="104">
        <f t="shared" si="235"/>
        <v>0</v>
      </c>
      <c r="N313" s="238">
        <f t="shared" si="242"/>
        <v>143</v>
      </c>
      <c r="O313" s="104">
        <f t="shared" si="236"/>
        <v>0</v>
      </c>
      <c r="P313" s="238">
        <f t="shared" si="243"/>
        <v>149.5</v>
      </c>
      <c r="Q313" s="104">
        <f t="shared" si="237"/>
        <v>0</v>
      </c>
      <c r="R313" s="238">
        <f t="shared" si="244"/>
        <v>162.5</v>
      </c>
      <c r="S313" s="104">
        <f t="shared" si="238"/>
        <v>0</v>
      </c>
      <c r="T313" s="105">
        <v>95</v>
      </c>
      <c r="U313" s="105">
        <f t="shared" si="239"/>
        <v>0</v>
      </c>
      <c r="V313" s="106"/>
      <c r="W313" s="301">
        <v>250</v>
      </c>
      <c r="Y313" s="567">
        <v>12</v>
      </c>
      <c r="Z313" s="189"/>
      <c r="AA313" s="541" t="s">
        <v>123</v>
      </c>
      <c r="AB313" s="537">
        <v>44193</v>
      </c>
      <c r="AC313" s="537">
        <v>46018</v>
      </c>
      <c r="AD313" s="768" t="s">
        <v>1785</v>
      </c>
      <c r="AE313" s="718" t="s">
        <v>67</v>
      </c>
      <c r="AF313" s="700"/>
      <c r="AG313" s="700"/>
      <c r="AH313" s="547" t="s">
        <v>683</v>
      </c>
      <c r="AI313" s="478"/>
      <c r="AJ313" s="189"/>
      <c r="AK313" s="568">
        <v>3401110001</v>
      </c>
      <c r="AM313" s="610" t="s">
        <v>1786</v>
      </c>
      <c r="AN313" s="611" t="s">
        <v>1787</v>
      </c>
      <c r="AO313" s="611" t="s">
        <v>1763</v>
      </c>
      <c r="AP313" s="616" t="s">
        <v>1788</v>
      </c>
      <c r="AQ313" s="637" t="s">
        <v>1789</v>
      </c>
      <c r="AR313" s="621"/>
      <c r="AS313" s="618"/>
      <c r="AU313" s="189"/>
      <c r="AV313" s="189"/>
      <c r="AW313" s="189"/>
      <c r="AX313" s="512">
        <f t="shared" si="240"/>
        <v>1.23552E-4</v>
      </c>
      <c r="AY313" s="507" t="e">
        <f>AX313*#REF!</f>
        <v>#REF!</v>
      </c>
      <c r="AZ313" s="189"/>
      <c r="BA313" s="189"/>
      <c r="BB313" s="189"/>
      <c r="BC313" s="517"/>
      <c r="BD313" s="189"/>
      <c r="BF313" s="445"/>
    </row>
    <row r="314" spans="1:60" ht="16.5" customHeight="1">
      <c r="A314" s="116">
        <v>4627101821752</v>
      </c>
      <c r="B314" s="100">
        <v>1383</v>
      </c>
      <c r="C314" s="251" t="s">
        <v>1790</v>
      </c>
      <c r="D314" s="826"/>
      <c r="E314" s="110" t="s">
        <v>682</v>
      </c>
      <c r="F314" s="248"/>
      <c r="G314" s="190"/>
      <c r="H314" s="190"/>
      <c r="I314" s="238"/>
      <c r="J314" s="238">
        <v>130</v>
      </c>
      <c r="K314" s="104">
        <f t="shared" si="234"/>
        <v>0</v>
      </c>
      <c r="L314" s="238">
        <f t="shared" si="241"/>
        <v>136.5</v>
      </c>
      <c r="M314" s="104">
        <f t="shared" si="235"/>
        <v>0</v>
      </c>
      <c r="N314" s="238">
        <f t="shared" si="242"/>
        <v>143</v>
      </c>
      <c r="O314" s="104">
        <f t="shared" si="236"/>
        <v>0</v>
      </c>
      <c r="P314" s="238">
        <f t="shared" si="243"/>
        <v>149.5</v>
      </c>
      <c r="Q314" s="104">
        <f t="shared" si="237"/>
        <v>0</v>
      </c>
      <c r="R314" s="238">
        <f t="shared" si="244"/>
        <v>162.5</v>
      </c>
      <c r="S314" s="104">
        <f t="shared" si="238"/>
        <v>0</v>
      </c>
      <c r="T314" s="105">
        <v>95</v>
      </c>
      <c r="U314" s="105">
        <f t="shared" si="239"/>
        <v>0</v>
      </c>
      <c r="V314" s="106"/>
      <c r="W314" s="301">
        <v>250</v>
      </c>
      <c r="Y314" s="567">
        <v>12</v>
      </c>
      <c r="Z314" s="189"/>
      <c r="AA314" s="541" t="s">
        <v>123</v>
      </c>
      <c r="AB314" s="537">
        <v>44193</v>
      </c>
      <c r="AC314" s="537">
        <v>46018</v>
      </c>
      <c r="AD314" s="768" t="s">
        <v>1791</v>
      </c>
      <c r="AE314" s="718" t="s">
        <v>67</v>
      </c>
      <c r="AF314" s="700"/>
      <c r="AG314" s="700"/>
      <c r="AH314" s="547" t="s">
        <v>683</v>
      </c>
      <c r="AI314" s="478"/>
      <c r="AJ314" s="189"/>
      <c r="AK314" s="568">
        <v>3401110001</v>
      </c>
      <c r="AM314" s="610" t="s">
        <v>1792</v>
      </c>
      <c r="AN314" s="611" t="s">
        <v>1793</v>
      </c>
      <c r="AO314" s="611" t="s">
        <v>1763</v>
      </c>
      <c r="AP314" s="616" t="s">
        <v>1794</v>
      </c>
      <c r="AQ314" s="637" t="s">
        <v>1795</v>
      </c>
      <c r="AR314" s="621"/>
      <c r="AS314" s="618"/>
      <c r="AU314" s="189"/>
      <c r="AV314" s="189"/>
      <c r="AW314" s="189"/>
      <c r="AX314" s="512">
        <f t="shared" si="240"/>
        <v>1.23552E-4</v>
      </c>
      <c r="AY314" s="507" t="e">
        <f>AX314*#REF!</f>
        <v>#REF!</v>
      </c>
      <c r="AZ314" s="189"/>
      <c r="BA314" s="189"/>
      <c r="BB314" s="189"/>
      <c r="BC314" s="517"/>
      <c r="BD314" s="189"/>
      <c r="BF314" s="445"/>
    </row>
    <row r="315" spans="1:60" ht="16.5" customHeight="1">
      <c r="A315" s="116">
        <v>4627101821806</v>
      </c>
      <c r="B315" s="100">
        <v>1384</v>
      </c>
      <c r="C315" s="251" t="s">
        <v>1796</v>
      </c>
      <c r="D315" s="826"/>
      <c r="E315" s="110" t="s">
        <v>682</v>
      </c>
      <c r="F315" s="248"/>
      <c r="G315" s="190"/>
      <c r="H315" s="190"/>
      <c r="I315" s="238"/>
      <c r="J315" s="238">
        <v>130</v>
      </c>
      <c r="K315" s="104">
        <f t="shared" si="234"/>
        <v>0</v>
      </c>
      <c r="L315" s="238">
        <f t="shared" si="241"/>
        <v>136.5</v>
      </c>
      <c r="M315" s="104">
        <f t="shared" si="235"/>
        <v>0</v>
      </c>
      <c r="N315" s="238">
        <f t="shared" si="242"/>
        <v>143</v>
      </c>
      <c r="O315" s="104">
        <f t="shared" si="236"/>
        <v>0</v>
      </c>
      <c r="P315" s="238">
        <f t="shared" si="243"/>
        <v>149.5</v>
      </c>
      <c r="Q315" s="104">
        <f t="shared" si="237"/>
        <v>0</v>
      </c>
      <c r="R315" s="238">
        <f t="shared" si="244"/>
        <v>162.5</v>
      </c>
      <c r="S315" s="104">
        <f t="shared" si="238"/>
        <v>0</v>
      </c>
      <c r="T315" s="105">
        <v>95</v>
      </c>
      <c r="U315" s="105">
        <f t="shared" si="239"/>
        <v>0</v>
      </c>
      <c r="V315" s="106"/>
      <c r="W315" s="301">
        <v>250</v>
      </c>
      <c r="Y315" s="567">
        <v>12</v>
      </c>
      <c r="Z315" s="189"/>
      <c r="AA315" s="541" t="s">
        <v>123</v>
      </c>
      <c r="AB315" s="537">
        <v>44193</v>
      </c>
      <c r="AC315" s="537">
        <v>46018</v>
      </c>
      <c r="AD315" s="768" t="s">
        <v>1797</v>
      </c>
      <c r="AE315" s="718" t="s">
        <v>67</v>
      </c>
      <c r="AF315" s="700"/>
      <c r="AG315" s="700"/>
      <c r="AH315" s="547" t="s">
        <v>683</v>
      </c>
      <c r="AI315" s="478"/>
      <c r="AJ315" s="189"/>
      <c r="AK315" s="568">
        <v>3401110001</v>
      </c>
      <c r="AM315" s="610" t="s">
        <v>1798</v>
      </c>
      <c r="AN315" s="611" t="s">
        <v>1799</v>
      </c>
      <c r="AO315" s="611" t="s">
        <v>1763</v>
      </c>
      <c r="AP315" s="616" t="s">
        <v>1800</v>
      </c>
      <c r="AQ315" s="637" t="s">
        <v>1801</v>
      </c>
      <c r="AR315" s="621"/>
      <c r="AS315" s="618"/>
      <c r="AU315" s="189"/>
      <c r="AV315" s="189"/>
      <c r="AW315" s="189"/>
      <c r="AX315" s="512">
        <f t="shared" si="240"/>
        <v>1.23552E-4</v>
      </c>
      <c r="AY315" s="507" t="e">
        <f>AX315*#REF!</f>
        <v>#REF!</v>
      </c>
      <c r="AZ315" s="189"/>
      <c r="BA315" s="189"/>
      <c r="BB315" s="189"/>
      <c r="BC315" s="517"/>
      <c r="BD315" s="189"/>
      <c r="BF315" s="445"/>
    </row>
    <row r="316" spans="1:60" ht="24" customHeight="1">
      <c r="A316" s="485" t="s">
        <v>156</v>
      </c>
      <c r="B316" s="333"/>
      <c r="C316" s="271" t="s">
        <v>1802</v>
      </c>
      <c r="D316" s="827"/>
      <c r="E316" s="270"/>
      <c r="F316" s="491"/>
      <c r="G316" s="360"/>
      <c r="H316" s="401" t="s">
        <v>1758</v>
      </c>
      <c r="I316" s="402" t="s">
        <v>1803</v>
      </c>
      <c r="J316" s="357"/>
      <c r="K316" s="488">
        <f>K317+K318+K319+K320+K321+K322+K323+K324+K325+K326+K327+K328+K329+K330+K331+K332+K333</f>
        <v>0</v>
      </c>
      <c r="L316" s="489"/>
      <c r="M316" s="488">
        <f>M317+M318+M319+M320+M321+M322+M323+M324+M325+M326+M327+M328+M329+M330+M331+M332+M333</f>
        <v>0</v>
      </c>
      <c r="N316" s="489"/>
      <c r="O316" s="488">
        <f>O317+O318+O319+O320+O321+O322+O323+O324+O325+O326+O327+O328+O329+O330+O331+O332+O333</f>
        <v>0</v>
      </c>
      <c r="P316" s="489"/>
      <c r="Q316" s="488">
        <f>SUM(Q317:Q333)</f>
        <v>0</v>
      </c>
      <c r="R316" s="489"/>
      <c r="S316" s="488">
        <f>S317+S318+S319+S320+S321+S322+S323+S324+S325+S326+S327+S328+S329+S330+S331+S332+S333</f>
        <v>0</v>
      </c>
      <c r="T316" s="346"/>
      <c r="U316" s="313">
        <f>SUM(U317:U333)</f>
        <v>0</v>
      </c>
      <c r="V316" s="293"/>
      <c r="W316" s="293"/>
      <c r="Y316" s="562"/>
      <c r="Z316" s="293"/>
      <c r="AA316" s="772"/>
      <c r="AB316" s="543"/>
      <c r="AC316" s="543"/>
      <c r="AD316" s="716"/>
      <c r="AE316" s="716"/>
      <c r="AF316" s="701"/>
      <c r="AG316" s="701"/>
      <c r="AH316" s="546"/>
      <c r="AI316" s="675"/>
      <c r="AJ316" s="293"/>
      <c r="AK316" s="563"/>
      <c r="AL316" s="554"/>
      <c r="AM316" s="562"/>
      <c r="AN316" s="293"/>
      <c r="AO316" s="293"/>
      <c r="AP316" s="293"/>
      <c r="AQ316" s="293"/>
      <c r="AR316" s="293"/>
      <c r="AS316" s="563"/>
      <c r="AU316" s="293"/>
      <c r="AV316" s="293"/>
      <c r="AW316" s="293"/>
      <c r="AX316" s="293"/>
      <c r="AY316" s="293"/>
      <c r="AZ316" s="293"/>
      <c r="BA316" s="293"/>
      <c r="BB316" s="293"/>
      <c r="BC316" s="293"/>
      <c r="BD316" s="293"/>
      <c r="BF316" s="445"/>
    </row>
    <row r="317" spans="1:60" ht="15" customHeight="1">
      <c r="A317" s="116">
        <v>4620748862669</v>
      </c>
      <c r="B317" s="100">
        <v>1360</v>
      </c>
      <c r="C317" s="251" t="s">
        <v>1804</v>
      </c>
      <c r="D317" s="826"/>
      <c r="E317" s="110" t="s">
        <v>682</v>
      </c>
      <c r="F317" s="326"/>
      <c r="G317" s="426"/>
      <c r="H317" s="426"/>
      <c r="I317" s="275"/>
      <c r="J317" s="275">
        <v>145</v>
      </c>
      <c r="K317" s="318">
        <f t="shared" ref="K317:K333" si="245">J317*F317</f>
        <v>0</v>
      </c>
      <c r="L317" s="275">
        <f>J317+J317*5%</f>
        <v>152.25</v>
      </c>
      <c r="M317" s="318">
        <f t="shared" ref="M317:M333" si="246">F317*L317</f>
        <v>0</v>
      </c>
      <c r="N317" s="275">
        <f>J317+J317*10%</f>
        <v>159.5</v>
      </c>
      <c r="O317" s="318">
        <f t="shared" ref="O317:O333" si="247">F317*N317</f>
        <v>0</v>
      </c>
      <c r="P317" s="275">
        <f>J317+J317*15%</f>
        <v>166.75</v>
      </c>
      <c r="Q317" s="318">
        <f t="shared" ref="Q317:Q333" si="248">F317*P317</f>
        <v>0</v>
      </c>
      <c r="R317" s="275">
        <f>J317+J317*25%</f>
        <v>181.25</v>
      </c>
      <c r="S317" s="318">
        <f t="shared" ref="S317:S333" si="249">F317*R317</f>
        <v>0</v>
      </c>
      <c r="T317" s="275">
        <v>87</v>
      </c>
      <c r="U317" s="275">
        <f t="shared" ref="U317:U333" si="250">T317*F317</f>
        <v>0</v>
      </c>
      <c r="V317" s="390"/>
      <c r="W317" s="391">
        <v>275</v>
      </c>
      <c r="Y317" s="567">
        <v>12</v>
      </c>
      <c r="Z317" s="189"/>
      <c r="AA317" s="541" t="s">
        <v>123</v>
      </c>
      <c r="AB317" s="537">
        <v>44193</v>
      </c>
      <c r="AC317" s="537">
        <v>46018</v>
      </c>
      <c r="AD317" s="718" t="s">
        <v>124</v>
      </c>
      <c r="AE317" s="718" t="s">
        <v>1805</v>
      </c>
      <c r="AF317" s="700"/>
      <c r="AG317" s="700"/>
      <c r="AH317" s="547" t="s">
        <v>1806</v>
      </c>
      <c r="AI317" s="478"/>
      <c r="AJ317" s="189"/>
      <c r="AK317" s="574">
        <v>3401110001</v>
      </c>
      <c r="AL317" s="446"/>
      <c r="AM317" s="610" t="s">
        <v>1807</v>
      </c>
      <c r="AN317" s="611" t="s">
        <v>1808</v>
      </c>
      <c r="AO317" s="611" t="s">
        <v>1809</v>
      </c>
      <c r="AP317" s="612"/>
      <c r="AQ317" s="649" t="s">
        <v>1810</v>
      </c>
      <c r="AR317" s="659" t="s">
        <v>340</v>
      </c>
      <c r="AS317" s="660"/>
      <c r="AU317" s="189"/>
      <c r="AV317" s="189"/>
      <c r="AW317" s="189"/>
      <c r="AX317" s="526">
        <f t="shared" ref="AX317:AX330" si="251">52*80*30/1000000000</f>
        <v>1.248E-4</v>
      </c>
      <c r="AY317" s="484" t="e">
        <f>AX317*#REF!</f>
        <v>#REF!</v>
      </c>
      <c r="AZ317" s="189"/>
      <c r="BA317" s="189"/>
      <c r="BB317" s="189"/>
      <c r="BC317" s="517"/>
      <c r="BD317" s="189"/>
      <c r="BF317" s="518"/>
    </row>
    <row r="318" spans="1:60" ht="15" customHeight="1">
      <c r="A318" s="116">
        <v>4620748860092</v>
      </c>
      <c r="B318" s="100">
        <v>1357</v>
      </c>
      <c r="C318" s="251" t="s">
        <v>1811</v>
      </c>
      <c r="D318" s="826"/>
      <c r="E318" s="110" t="s">
        <v>682</v>
      </c>
      <c r="F318" s="248"/>
      <c r="G318" s="190"/>
      <c r="H318" s="190"/>
      <c r="I318" s="238"/>
      <c r="J318" s="238">
        <v>115</v>
      </c>
      <c r="K318" s="104">
        <f t="shared" si="245"/>
        <v>0</v>
      </c>
      <c r="L318" s="238">
        <f t="shared" ref="L318:L333" si="252">J318+J318*5%</f>
        <v>120.75</v>
      </c>
      <c r="M318" s="104">
        <f t="shared" si="246"/>
        <v>0</v>
      </c>
      <c r="N318" s="238">
        <f t="shared" ref="N318:N333" si="253">J318+J318*10%</f>
        <v>126.5</v>
      </c>
      <c r="O318" s="104">
        <f t="shared" si="247"/>
        <v>0</v>
      </c>
      <c r="P318" s="238">
        <f t="shared" ref="P318:P333" si="254">J318+J318*15%</f>
        <v>132.25</v>
      </c>
      <c r="Q318" s="104">
        <f t="shared" si="248"/>
        <v>0</v>
      </c>
      <c r="R318" s="238">
        <f t="shared" ref="R318:R333" si="255">J318+J318*25%</f>
        <v>143.75</v>
      </c>
      <c r="S318" s="104">
        <f t="shared" si="249"/>
        <v>0</v>
      </c>
      <c r="T318" s="105">
        <v>87</v>
      </c>
      <c r="U318" s="105">
        <f t="shared" si="250"/>
        <v>0</v>
      </c>
      <c r="V318" s="106"/>
      <c r="W318" s="301">
        <v>220</v>
      </c>
      <c r="Y318" s="567">
        <v>12</v>
      </c>
      <c r="Z318" s="189"/>
      <c r="AA318" s="541" t="s">
        <v>123</v>
      </c>
      <c r="AB318" s="537">
        <v>44193</v>
      </c>
      <c r="AC318" s="537">
        <v>46018</v>
      </c>
      <c r="AD318" s="718" t="s">
        <v>124</v>
      </c>
      <c r="AE318" s="718" t="s">
        <v>67</v>
      </c>
      <c r="AF318" s="700"/>
      <c r="AG318" s="700"/>
      <c r="AH318" s="547" t="s">
        <v>1806</v>
      </c>
      <c r="AI318" s="478"/>
      <c r="AJ318" s="189"/>
      <c r="AK318" s="568">
        <v>3401110001</v>
      </c>
      <c r="AM318" s="610" t="s">
        <v>1812</v>
      </c>
      <c r="AN318" s="611" t="s">
        <v>1813</v>
      </c>
      <c r="AO318" s="611" t="s">
        <v>885</v>
      </c>
      <c r="AP318" s="616" t="s">
        <v>1814</v>
      </c>
      <c r="AQ318" s="637" t="s">
        <v>1815</v>
      </c>
      <c r="AR318" s="621"/>
      <c r="AS318" s="618"/>
      <c r="AU318" s="189"/>
      <c r="AV318" s="189"/>
      <c r="AW318" s="189"/>
      <c r="AX318" s="512">
        <f t="shared" si="251"/>
        <v>1.248E-4</v>
      </c>
      <c r="AY318" s="507" t="e">
        <f>AX318*#REF!</f>
        <v>#REF!</v>
      </c>
      <c r="AZ318" s="189"/>
      <c r="BA318" s="189"/>
      <c r="BB318" s="189"/>
      <c r="BC318" s="517"/>
      <c r="BD318" s="189"/>
      <c r="BF318" s="445"/>
    </row>
    <row r="319" spans="1:60" ht="15" customHeight="1">
      <c r="A319" s="116">
        <v>4620748862829</v>
      </c>
      <c r="B319" s="100">
        <v>1359</v>
      </c>
      <c r="C319" s="251" t="s">
        <v>1816</v>
      </c>
      <c r="D319" s="826"/>
      <c r="E319" s="110" t="s">
        <v>682</v>
      </c>
      <c r="F319" s="248"/>
      <c r="G319" s="190"/>
      <c r="H319" s="190"/>
      <c r="I319" s="238"/>
      <c r="J319" s="238">
        <v>115</v>
      </c>
      <c r="K319" s="104">
        <f t="shared" si="245"/>
        <v>0</v>
      </c>
      <c r="L319" s="238">
        <f t="shared" si="252"/>
        <v>120.75</v>
      </c>
      <c r="M319" s="104">
        <f t="shared" si="246"/>
        <v>0</v>
      </c>
      <c r="N319" s="238">
        <f t="shared" si="253"/>
        <v>126.5</v>
      </c>
      <c r="O319" s="104">
        <f t="shared" si="247"/>
        <v>0</v>
      </c>
      <c r="P319" s="238">
        <f t="shared" si="254"/>
        <v>132.25</v>
      </c>
      <c r="Q319" s="104">
        <f t="shared" si="248"/>
        <v>0</v>
      </c>
      <c r="R319" s="238">
        <f t="shared" si="255"/>
        <v>143.75</v>
      </c>
      <c r="S319" s="104">
        <f t="shared" si="249"/>
        <v>0</v>
      </c>
      <c r="T319" s="105">
        <v>87</v>
      </c>
      <c r="U319" s="105">
        <f t="shared" si="250"/>
        <v>0</v>
      </c>
      <c r="V319" s="106"/>
      <c r="W319" s="301">
        <v>220</v>
      </c>
      <c r="Y319" s="567">
        <v>12</v>
      </c>
      <c r="Z319" s="189"/>
      <c r="AA319" s="541" t="s">
        <v>123</v>
      </c>
      <c r="AB319" s="537">
        <v>44193</v>
      </c>
      <c r="AC319" s="537">
        <v>46018</v>
      </c>
      <c r="AD319" s="718" t="s">
        <v>124</v>
      </c>
      <c r="AE319" s="718" t="s">
        <v>67</v>
      </c>
      <c r="AF319" s="700"/>
      <c r="AG319" s="700"/>
      <c r="AH319" s="547" t="s">
        <v>1806</v>
      </c>
      <c r="AI319" s="478"/>
      <c r="AJ319" s="189"/>
      <c r="AK319" s="568">
        <v>3401110001</v>
      </c>
      <c r="AM319" s="610" t="s">
        <v>1817</v>
      </c>
      <c r="AN319" s="611" t="s">
        <v>1818</v>
      </c>
      <c r="AO319" s="611" t="s">
        <v>1819</v>
      </c>
      <c r="AP319" s="616" t="s">
        <v>1820</v>
      </c>
      <c r="AQ319" s="637" t="s">
        <v>1821</v>
      </c>
      <c r="AR319" s="621"/>
      <c r="AS319" s="618"/>
      <c r="AU319" s="189"/>
      <c r="AV319" s="189"/>
      <c r="AW319" s="189"/>
      <c r="AX319" s="512">
        <f t="shared" si="251"/>
        <v>1.248E-4</v>
      </c>
      <c r="AY319" s="507" t="e">
        <f>AX319*#REF!</f>
        <v>#REF!</v>
      </c>
      <c r="AZ319" s="189"/>
      <c r="BA319" s="189"/>
      <c r="BB319" s="189"/>
      <c r="BC319" s="517"/>
      <c r="BD319" s="189"/>
      <c r="BF319" s="445"/>
    </row>
    <row r="320" spans="1:60" ht="15" customHeight="1">
      <c r="A320" s="354">
        <v>4627101823237</v>
      </c>
      <c r="B320" s="100">
        <v>1957</v>
      </c>
      <c r="C320" s="251" t="s">
        <v>1822</v>
      </c>
      <c r="D320" s="826"/>
      <c r="E320" s="110" t="s">
        <v>682</v>
      </c>
      <c r="F320" s="248"/>
      <c r="G320" s="190"/>
      <c r="H320" s="190"/>
      <c r="I320" s="238"/>
      <c r="J320" s="238">
        <v>115</v>
      </c>
      <c r="K320" s="104">
        <f t="shared" si="245"/>
        <v>0</v>
      </c>
      <c r="L320" s="238">
        <f t="shared" si="252"/>
        <v>120.75</v>
      </c>
      <c r="M320" s="104">
        <f t="shared" si="246"/>
        <v>0</v>
      </c>
      <c r="N320" s="238">
        <f t="shared" si="253"/>
        <v>126.5</v>
      </c>
      <c r="O320" s="104">
        <f t="shared" si="247"/>
        <v>0</v>
      </c>
      <c r="P320" s="238">
        <f t="shared" si="254"/>
        <v>132.25</v>
      </c>
      <c r="Q320" s="104">
        <f t="shared" si="248"/>
        <v>0</v>
      </c>
      <c r="R320" s="238">
        <f t="shared" si="255"/>
        <v>143.75</v>
      </c>
      <c r="S320" s="104">
        <f t="shared" si="249"/>
        <v>0</v>
      </c>
      <c r="T320" s="105">
        <v>87</v>
      </c>
      <c r="U320" s="105">
        <f t="shared" si="250"/>
        <v>0</v>
      </c>
      <c r="V320" s="106"/>
      <c r="W320" s="301">
        <v>220</v>
      </c>
      <c r="Y320" s="567">
        <v>12</v>
      </c>
      <c r="Z320" s="189"/>
      <c r="AA320" s="541" t="s">
        <v>123</v>
      </c>
      <c r="AB320" s="537">
        <v>44193</v>
      </c>
      <c r="AC320" s="537">
        <v>46018</v>
      </c>
      <c r="AD320" s="718" t="s">
        <v>124</v>
      </c>
      <c r="AE320" s="718" t="s">
        <v>67</v>
      </c>
      <c r="AF320" s="700"/>
      <c r="AG320" s="700"/>
      <c r="AH320" s="547" t="s">
        <v>1806</v>
      </c>
      <c r="AI320" s="478"/>
      <c r="AJ320" s="189"/>
      <c r="AK320" s="568">
        <v>3401110001</v>
      </c>
      <c r="AM320" s="610" t="s">
        <v>1823</v>
      </c>
      <c r="AN320" s="611" t="s">
        <v>1824</v>
      </c>
      <c r="AO320" s="611" t="s">
        <v>1819</v>
      </c>
      <c r="AP320" s="616" t="s">
        <v>1825</v>
      </c>
      <c r="AQ320" s="609"/>
      <c r="AR320" s="621"/>
      <c r="AS320" s="618"/>
      <c r="AU320" s="189"/>
      <c r="AV320" s="189"/>
      <c r="AW320" s="189"/>
      <c r="AX320" s="512">
        <f t="shared" si="251"/>
        <v>1.248E-4</v>
      </c>
      <c r="AY320" s="507" t="e">
        <f>AX320*#REF!</f>
        <v>#REF!</v>
      </c>
      <c r="AZ320" s="189"/>
      <c r="BA320" s="189"/>
      <c r="BB320" s="189"/>
      <c r="BC320" s="517"/>
      <c r="BD320" s="189"/>
      <c r="BF320" s="445"/>
    </row>
    <row r="321" spans="1:58" ht="15" customHeight="1">
      <c r="A321" s="354">
        <v>4620748860108</v>
      </c>
      <c r="B321" s="100">
        <v>1361</v>
      </c>
      <c r="C321" s="251" t="s">
        <v>1826</v>
      </c>
      <c r="D321" s="826"/>
      <c r="E321" s="110" t="s">
        <v>682</v>
      </c>
      <c r="F321" s="248"/>
      <c r="G321" s="190"/>
      <c r="H321" s="190"/>
      <c r="I321" s="238"/>
      <c r="J321" s="238">
        <v>115</v>
      </c>
      <c r="K321" s="104">
        <f t="shared" si="245"/>
        <v>0</v>
      </c>
      <c r="L321" s="238">
        <f t="shared" si="252"/>
        <v>120.75</v>
      </c>
      <c r="M321" s="104">
        <f t="shared" si="246"/>
        <v>0</v>
      </c>
      <c r="N321" s="238">
        <f t="shared" si="253"/>
        <v>126.5</v>
      </c>
      <c r="O321" s="104">
        <f t="shared" si="247"/>
        <v>0</v>
      </c>
      <c r="P321" s="238">
        <f t="shared" si="254"/>
        <v>132.25</v>
      </c>
      <c r="Q321" s="104">
        <f t="shared" si="248"/>
        <v>0</v>
      </c>
      <c r="R321" s="238">
        <f t="shared" si="255"/>
        <v>143.75</v>
      </c>
      <c r="S321" s="104">
        <f t="shared" si="249"/>
        <v>0</v>
      </c>
      <c r="T321" s="105">
        <v>87</v>
      </c>
      <c r="U321" s="105">
        <f t="shared" si="250"/>
        <v>0</v>
      </c>
      <c r="V321" s="106"/>
      <c r="W321" s="301">
        <v>220</v>
      </c>
      <c r="Y321" s="567">
        <v>12</v>
      </c>
      <c r="Z321" s="189"/>
      <c r="AA321" s="541" t="s">
        <v>123</v>
      </c>
      <c r="AB321" s="537">
        <v>44193</v>
      </c>
      <c r="AC321" s="537">
        <v>46018</v>
      </c>
      <c r="AD321" s="718" t="s">
        <v>124</v>
      </c>
      <c r="AE321" s="718" t="s">
        <v>67</v>
      </c>
      <c r="AF321" s="700"/>
      <c r="AG321" s="700"/>
      <c r="AH321" s="547" t="s">
        <v>1806</v>
      </c>
      <c r="AI321" s="478"/>
      <c r="AJ321" s="189"/>
      <c r="AK321" s="568">
        <v>3401110001</v>
      </c>
      <c r="AM321" s="610" t="s">
        <v>1827</v>
      </c>
      <c r="AN321" s="611" t="s">
        <v>1828</v>
      </c>
      <c r="AO321" s="611" t="s">
        <v>1819</v>
      </c>
      <c r="AP321" s="616" t="s">
        <v>1829</v>
      </c>
      <c r="AQ321" s="609"/>
      <c r="AR321" s="621"/>
      <c r="AS321" s="618"/>
      <c r="AU321" s="189"/>
      <c r="AV321" s="189"/>
      <c r="AW321" s="189"/>
      <c r="AX321" s="512">
        <f t="shared" si="251"/>
        <v>1.248E-4</v>
      </c>
      <c r="AY321" s="507" t="e">
        <f>AX321*#REF!</f>
        <v>#REF!</v>
      </c>
      <c r="AZ321" s="189"/>
      <c r="BA321" s="189"/>
      <c r="BB321" s="189"/>
      <c r="BC321" s="517"/>
      <c r="BD321" s="189"/>
      <c r="BF321" s="445"/>
    </row>
    <row r="322" spans="1:58" ht="15" customHeight="1">
      <c r="A322" s="354">
        <v>4620748862478</v>
      </c>
      <c r="B322" s="100">
        <v>1362</v>
      </c>
      <c r="C322" s="251" t="s">
        <v>1830</v>
      </c>
      <c r="D322" s="826"/>
      <c r="E322" s="110" t="s">
        <v>682</v>
      </c>
      <c r="F322" s="248"/>
      <c r="G322" s="190"/>
      <c r="H322" s="190"/>
      <c r="I322" s="238"/>
      <c r="J322" s="238">
        <v>115</v>
      </c>
      <c r="K322" s="104">
        <f t="shared" si="245"/>
        <v>0</v>
      </c>
      <c r="L322" s="238">
        <f t="shared" si="252"/>
        <v>120.75</v>
      </c>
      <c r="M322" s="104">
        <f t="shared" si="246"/>
        <v>0</v>
      </c>
      <c r="N322" s="238">
        <f t="shared" si="253"/>
        <v>126.5</v>
      </c>
      <c r="O322" s="104">
        <f t="shared" si="247"/>
        <v>0</v>
      </c>
      <c r="P322" s="238">
        <f t="shared" si="254"/>
        <v>132.25</v>
      </c>
      <c r="Q322" s="104">
        <f t="shared" si="248"/>
        <v>0</v>
      </c>
      <c r="R322" s="238">
        <f t="shared" si="255"/>
        <v>143.75</v>
      </c>
      <c r="S322" s="104">
        <f t="shared" si="249"/>
        <v>0</v>
      </c>
      <c r="T322" s="105">
        <v>87</v>
      </c>
      <c r="U322" s="105">
        <f t="shared" si="250"/>
        <v>0</v>
      </c>
      <c r="V322" s="106"/>
      <c r="W322" s="301">
        <v>220</v>
      </c>
      <c r="Y322" s="567">
        <v>12</v>
      </c>
      <c r="Z322" s="189"/>
      <c r="AA322" s="541" t="s">
        <v>123</v>
      </c>
      <c r="AB322" s="537">
        <v>44193</v>
      </c>
      <c r="AC322" s="537">
        <v>46018</v>
      </c>
      <c r="AD322" s="718" t="s">
        <v>124</v>
      </c>
      <c r="AE322" s="718" t="s">
        <v>67</v>
      </c>
      <c r="AF322" s="700"/>
      <c r="AG322" s="700"/>
      <c r="AH322" s="547" t="s">
        <v>1806</v>
      </c>
      <c r="AI322" s="478"/>
      <c r="AJ322" s="189"/>
      <c r="AK322" s="568">
        <v>3401110001</v>
      </c>
      <c r="AM322" s="610" t="s">
        <v>1831</v>
      </c>
      <c r="AN322" s="611" t="s">
        <v>1832</v>
      </c>
      <c r="AO322" s="611" t="s">
        <v>885</v>
      </c>
      <c r="AP322" s="612" t="s">
        <v>1833</v>
      </c>
      <c r="AQ322" s="637" t="s">
        <v>1834</v>
      </c>
      <c r="AR322" s="619" t="s">
        <v>340</v>
      </c>
      <c r="AS322" s="615"/>
      <c r="AU322" s="189"/>
      <c r="AV322" s="189"/>
      <c r="AW322" s="189"/>
      <c r="AX322" s="512">
        <f t="shared" si="251"/>
        <v>1.248E-4</v>
      </c>
      <c r="AY322" s="507" t="e">
        <f>AX322*#REF!</f>
        <v>#REF!</v>
      </c>
      <c r="AZ322" s="189"/>
      <c r="BA322" s="189"/>
      <c r="BB322" s="189"/>
      <c r="BC322" s="517"/>
      <c r="BD322" s="189"/>
      <c r="BF322" s="445"/>
    </row>
    <row r="323" spans="1:58" ht="15" customHeight="1">
      <c r="A323" s="354">
        <v>4620748862676</v>
      </c>
      <c r="B323" s="100">
        <v>1363</v>
      </c>
      <c r="C323" s="251" t="s">
        <v>1835</v>
      </c>
      <c r="D323" s="826"/>
      <c r="E323" s="110" t="s">
        <v>682</v>
      </c>
      <c r="F323" s="248"/>
      <c r="G323" s="190"/>
      <c r="H323" s="190"/>
      <c r="I323" s="238"/>
      <c r="J323" s="238">
        <v>115</v>
      </c>
      <c r="K323" s="104">
        <f t="shared" si="245"/>
        <v>0</v>
      </c>
      <c r="L323" s="238">
        <f t="shared" si="252"/>
        <v>120.75</v>
      </c>
      <c r="M323" s="104">
        <f t="shared" si="246"/>
        <v>0</v>
      </c>
      <c r="N323" s="238">
        <f t="shared" si="253"/>
        <v>126.5</v>
      </c>
      <c r="O323" s="104">
        <f t="shared" si="247"/>
        <v>0</v>
      </c>
      <c r="P323" s="238">
        <f t="shared" si="254"/>
        <v>132.25</v>
      </c>
      <c r="Q323" s="104">
        <f t="shared" si="248"/>
        <v>0</v>
      </c>
      <c r="R323" s="238">
        <f t="shared" si="255"/>
        <v>143.75</v>
      </c>
      <c r="S323" s="104">
        <f t="shared" si="249"/>
        <v>0</v>
      </c>
      <c r="T323" s="105">
        <v>87</v>
      </c>
      <c r="U323" s="105">
        <f t="shared" si="250"/>
        <v>0</v>
      </c>
      <c r="V323" s="106"/>
      <c r="W323" s="301">
        <v>220</v>
      </c>
      <c r="Y323" s="567">
        <v>12</v>
      </c>
      <c r="Z323" s="189"/>
      <c r="AA323" s="541" t="s">
        <v>123</v>
      </c>
      <c r="AB323" s="537">
        <v>44193</v>
      </c>
      <c r="AC323" s="537">
        <v>46018</v>
      </c>
      <c r="AD323" s="718" t="s">
        <v>124</v>
      </c>
      <c r="AE323" s="718" t="s">
        <v>67</v>
      </c>
      <c r="AF323" s="700"/>
      <c r="AG323" s="700"/>
      <c r="AH323" s="547" t="s">
        <v>1806</v>
      </c>
      <c r="AI323" s="478"/>
      <c r="AJ323" s="189"/>
      <c r="AK323" s="568">
        <v>3401110001</v>
      </c>
      <c r="AM323" s="610" t="s">
        <v>1836</v>
      </c>
      <c r="AN323" s="611" t="s">
        <v>1837</v>
      </c>
      <c r="AO323" s="611" t="s">
        <v>885</v>
      </c>
      <c r="AP323" s="616" t="s">
        <v>1838</v>
      </c>
      <c r="AQ323" s="637" t="s">
        <v>1839</v>
      </c>
      <c r="AR323" s="621"/>
      <c r="AS323" s="618"/>
      <c r="AU323" s="189"/>
      <c r="AV323" s="189"/>
      <c r="AW323" s="189"/>
      <c r="AX323" s="512">
        <f t="shared" si="251"/>
        <v>1.248E-4</v>
      </c>
      <c r="AY323" s="507" t="e">
        <f>AX323*#REF!</f>
        <v>#REF!</v>
      </c>
      <c r="AZ323" s="189"/>
      <c r="BA323" s="189"/>
      <c r="BB323" s="189"/>
      <c r="BC323" s="517"/>
      <c r="BD323" s="189"/>
      <c r="BF323" s="445"/>
    </row>
    <row r="324" spans="1:58" ht="15" customHeight="1">
      <c r="A324" s="354">
        <v>4620748862690</v>
      </c>
      <c r="B324" s="100">
        <v>1365</v>
      </c>
      <c r="C324" s="251" t="s">
        <v>1840</v>
      </c>
      <c r="D324" s="826"/>
      <c r="E324" s="110" t="s">
        <v>682</v>
      </c>
      <c r="F324" s="248"/>
      <c r="G324" s="190"/>
      <c r="H324" s="190"/>
      <c r="I324" s="238"/>
      <c r="J324" s="238">
        <v>115</v>
      </c>
      <c r="K324" s="104">
        <f t="shared" si="245"/>
        <v>0</v>
      </c>
      <c r="L324" s="238">
        <f t="shared" si="252"/>
        <v>120.75</v>
      </c>
      <c r="M324" s="104">
        <f t="shared" si="246"/>
        <v>0</v>
      </c>
      <c r="N324" s="238">
        <f t="shared" si="253"/>
        <v>126.5</v>
      </c>
      <c r="O324" s="104">
        <f t="shared" si="247"/>
        <v>0</v>
      </c>
      <c r="P324" s="238">
        <f t="shared" si="254"/>
        <v>132.25</v>
      </c>
      <c r="Q324" s="104">
        <f t="shared" si="248"/>
        <v>0</v>
      </c>
      <c r="R324" s="238">
        <f t="shared" si="255"/>
        <v>143.75</v>
      </c>
      <c r="S324" s="104">
        <f t="shared" si="249"/>
        <v>0</v>
      </c>
      <c r="T324" s="105">
        <v>87</v>
      </c>
      <c r="U324" s="105">
        <f t="shared" si="250"/>
        <v>0</v>
      </c>
      <c r="V324" s="106"/>
      <c r="W324" s="301">
        <v>220</v>
      </c>
      <c r="Y324" s="567">
        <v>12</v>
      </c>
      <c r="Z324" s="189"/>
      <c r="AA324" s="541" t="s">
        <v>123</v>
      </c>
      <c r="AB324" s="537">
        <v>44193</v>
      </c>
      <c r="AC324" s="537">
        <v>46018</v>
      </c>
      <c r="AD324" s="718" t="s">
        <v>124</v>
      </c>
      <c r="AE324" s="718" t="s">
        <v>67</v>
      </c>
      <c r="AF324" s="700"/>
      <c r="AG324" s="700"/>
      <c r="AH324" s="547" t="s">
        <v>1806</v>
      </c>
      <c r="AI324" s="478"/>
      <c r="AJ324" s="189"/>
      <c r="AK324" s="568">
        <v>3401110001</v>
      </c>
      <c r="AM324" s="610" t="s">
        <v>1841</v>
      </c>
      <c r="AN324" s="611" t="s">
        <v>1842</v>
      </c>
      <c r="AO324" s="611" t="s">
        <v>885</v>
      </c>
      <c r="AP324" s="612" t="s">
        <v>1843</v>
      </c>
      <c r="AQ324" s="637" t="s">
        <v>1844</v>
      </c>
      <c r="AR324" s="619" t="s">
        <v>340</v>
      </c>
      <c r="AS324" s="615"/>
      <c r="AU324" s="189"/>
      <c r="AV324" s="189"/>
      <c r="AW324" s="189"/>
      <c r="AX324" s="512">
        <f t="shared" si="251"/>
        <v>1.248E-4</v>
      </c>
      <c r="AY324" s="507" t="e">
        <f>AX324*#REF!</f>
        <v>#REF!</v>
      </c>
      <c r="AZ324" s="189"/>
      <c r="BA324" s="189"/>
      <c r="BB324" s="189"/>
      <c r="BC324" s="517"/>
      <c r="BD324" s="189"/>
      <c r="BF324" s="445"/>
    </row>
    <row r="325" spans="1:58" ht="15" customHeight="1">
      <c r="A325" s="354">
        <v>4620748862751</v>
      </c>
      <c r="B325" s="100">
        <v>1371</v>
      </c>
      <c r="C325" s="251" t="s">
        <v>1845</v>
      </c>
      <c r="D325" s="826"/>
      <c r="E325" s="110" t="s">
        <v>682</v>
      </c>
      <c r="F325" s="248"/>
      <c r="G325" s="190"/>
      <c r="H325" s="190"/>
      <c r="I325" s="238"/>
      <c r="J325" s="238">
        <v>115</v>
      </c>
      <c r="K325" s="104">
        <f t="shared" si="245"/>
        <v>0</v>
      </c>
      <c r="L325" s="238">
        <f t="shared" si="252"/>
        <v>120.75</v>
      </c>
      <c r="M325" s="104">
        <f t="shared" si="246"/>
        <v>0</v>
      </c>
      <c r="N325" s="238">
        <f t="shared" si="253"/>
        <v>126.5</v>
      </c>
      <c r="O325" s="104">
        <f t="shared" si="247"/>
        <v>0</v>
      </c>
      <c r="P325" s="238">
        <f t="shared" si="254"/>
        <v>132.25</v>
      </c>
      <c r="Q325" s="104">
        <f t="shared" si="248"/>
        <v>0</v>
      </c>
      <c r="R325" s="238">
        <f t="shared" si="255"/>
        <v>143.75</v>
      </c>
      <c r="S325" s="104">
        <f t="shared" si="249"/>
        <v>0</v>
      </c>
      <c r="T325" s="105">
        <v>87</v>
      </c>
      <c r="U325" s="105">
        <f t="shared" si="250"/>
        <v>0</v>
      </c>
      <c r="V325" s="106"/>
      <c r="W325" s="301">
        <v>220</v>
      </c>
      <c r="Y325" s="567">
        <v>12</v>
      </c>
      <c r="Z325" s="189"/>
      <c r="AA325" s="541" t="s">
        <v>123</v>
      </c>
      <c r="AB325" s="537">
        <v>44193</v>
      </c>
      <c r="AC325" s="537">
        <v>46018</v>
      </c>
      <c r="AD325" s="718" t="s">
        <v>124</v>
      </c>
      <c r="AE325" s="718" t="s">
        <v>67</v>
      </c>
      <c r="AF325" s="700"/>
      <c r="AG325" s="700"/>
      <c r="AH325" s="547" t="s">
        <v>1806</v>
      </c>
      <c r="AI325" s="478"/>
      <c r="AJ325" s="189"/>
      <c r="AK325" s="568">
        <v>3401110001</v>
      </c>
      <c r="AM325" s="610" t="s">
        <v>1846</v>
      </c>
      <c r="AN325" s="611" t="s">
        <v>1847</v>
      </c>
      <c r="AO325" s="611" t="s">
        <v>1848</v>
      </c>
      <c r="AP325" s="616" t="s">
        <v>1849</v>
      </c>
      <c r="AQ325" s="637" t="s">
        <v>1850</v>
      </c>
      <c r="AR325" s="621"/>
      <c r="AS325" s="618"/>
      <c r="AU325" s="189"/>
      <c r="AV325" s="189"/>
      <c r="AW325" s="189"/>
      <c r="AX325" s="512">
        <f t="shared" si="251"/>
        <v>1.248E-4</v>
      </c>
      <c r="AY325" s="507" t="e">
        <f>AX325*#REF!</f>
        <v>#REF!</v>
      </c>
      <c r="AZ325" s="189"/>
      <c r="BA325" s="189"/>
      <c r="BB325" s="189"/>
      <c r="BC325" s="517"/>
      <c r="BD325" s="189"/>
      <c r="BF325" s="445"/>
    </row>
    <row r="326" spans="1:58" ht="15" customHeight="1">
      <c r="A326" s="354">
        <v>4620748862706</v>
      </c>
      <c r="B326" s="100">
        <v>1372</v>
      </c>
      <c r="C326" s="251" t="s">
        <v>1851</v>
      </c>
      <c r="D326" s="826"/>
      <c r="E326" s="110" t="s">
        <v>682</v>
      </c>
      <c r="F326" s="248"/>
      <c r="G326" s="190"/>
      <c r="H326" s="190"/>
      <c r="I326" s="238"/>
      <c r="J326" s="238">
        <v>115</v>
      </c>
      <c r="K326" s="104">
        <f t="shared" si="245"/>
        <v>0</v>
      </c>
      <c r="L326" s="238">
        <f t="shared" si="252"/>
        <v>120.75</v>
      </c>
      <c r="M326" s="104">
        <f t="shared" si="246"/>
        <v>0</v>
      </c>
      <c r="N326" s="238">
        <f t="shared" si="253"/>
        <v>126.5</v>
      </c>
      <c r="O326" s="104">
        <f t="shared" si="247"/>
        <v>0</v>
      </c>
      <c r="P326" s="238">
        <f t="shared" si="254"/>
        <v>132.25</v>
      </c>
      <c r="Q326" s="104">
        <f t="shared" si="248"/>
        <v>0</v>
      </c>
      <c r="R326" s="238">
        <f t="shared" si="255"/>
        <v>143.75</v>
      </c>
      <c r="S326" s="104">
        <f t="shared" si="249"/>
        <v>0</v>
      </c>
      <c r="T326" s="105">
        <v>87</v>
      </c>
      <c r="U326" s="105">
        <f t="shared" si="250"/>
        <v>0</v>
      </c>
      <c r="V326" s="106"/>
      <c r="W326" s="301">
        <v>220</v>
      </c>
      <c r="Y326" s="567">
        <v>12</v>
      </c>
      <c r="Z326" s="189"/>
      <c r="AA326" s="541" t="s">
        <v>123</v>
      </c>
      <c r="AB326" s="537">
        <v>44193</v>
      </c>
      <c r="AC326" s="537">
        <v>46018</v>
      </c>
      <c r="AD326" s="718" t="s">
        <v>124</v>
      </c>
      <c r="AE326" s="718" t="s">
        <v>67</v>
      </c>
      <c r="AF326" s="700"/>
      <c r="AG326" s="700"/>
      <c r="AH326" s="547" t="s">
        <v>1806</v>
      </c>
      <c r="AI326" s="478"/>
      <c r="AJ326" s="189"/>
      <c r="AK326" s="568">
        <v>3401110001</v>
      </c>
      <c r="AM326" s="610" t="s">
        <v>1852</v>
      </c>
      <c r="AN326" s="611" t="s">
        <v>1853</v>
      </c>
      <c r="AO326" s="611" t="s">
        <v>885</v>
      </c>
      <c r="AP326" s="616" t="s">
        <v>1854</v>
      </c>
      <c r="AQ326" s="637" t="s">
        <v>1855</v>
      </c>
      <c r="AR326" s="621"/>
      <c r="AS326" s="618"/>
      <c r="AU326" s="189"/>
      <c r="AV326" s="189"/>
      <c r="AW326" s="189"/>
      <c r="AX326" s="512">
        <f t="shared" si="251"/>
        <v>1.248E-4</v>
      </c>
      <c r="AY326" s="507" t="e">
        <f>AX326*#REF!</f>
        <v>#REF!</v>
      </c>
      <c r="AZ326" s="189"/>
      <c r="BA326" s="189"/>
      <c r="BB326" s="189"/>
      <c r="BC326" s="517"/>
      <c r="BD326" s="189"/>
      <c r="BF326" s="445"/>
    </row>
    <row r="327" spans="1:58" ht="15" customHeight="1">
      <c r="A327" s="354">
        <v>4620748860177</v>
      </c>
      <c r="B327" s="100">
        <v>1373</v>
      </c>
      <c r="C327" s="251" t="s">
        <v>1856</v>
      </c>
      <c r="D327" s="826"/>
      <c r="E327" s="110" t="s">
        <v>682</v>
      </c>
      <c r="F327" s="248"/>
      <c r="G327" s="190"/>
      <c r="H327" s="190"/>
      <c r="I327" s="238"/>
      <c r="J327" s="238">
        <v>115</v>
      </c>
      <c r="K327" s="104">
        <f t="shared" si="245"/>
        <v>0</v>
      </c>
      <c r="L327" s="238">
        <f t="shared" si="252"/>
        <v>120.75</v>
      </c>
      <c r="M327" s="104">
        <f t="shared" si="246"/>
        <v>0</v>
      </c>
      <c r="N327" s="238">
        <f t="shared" si="253"/>
        <v>126.5</v>
      </c>
      <c r="O327" s="104">
        <f t="shared" si="247"/>
        <v>0</v>
      </c>
      <c r="P327" s="238">
        <f t="shared" si="254"/>
        <v>132.25</v>
      </c>
      <c r="Q327" s="104">
        <f t="shared" si="248"/>
        <v>0</v>
      </c>
      <c r="R327" s="238">
        <f t="shared" si="255"/>
        <v>143.75</v>
      </c>
      <c r="S327" s="104">
        <f t="shared" si="249"/>
        <v>0</v>
      </c>
      <c r="T327" s="105">
        <v>87</v>
      </c>
      <c r="U327" s="105">
        <f t="shared" si="250"/>
        <v>0</v>
      </c>
      <c r="V327" s="106"/>
      <c r="W327" s="301">
        <v>220</v>
      </c>
      <c r="Y327" s="567">
        <v>12</v>
      </c>
      <c r="Z327" s="189"/>
      <c r="AA327" s="541" t="s">
        <v>123</v>
      </c>
      <c r="AB327" s="537">
        <v>44193</v>
      </c>
      <c r="AC327" s="537">
        <v>46018</v>
      </c>
      <c r="AD327" s="718" t="s">
        <v>124</v>
      </c>
      <c r="AE327" s="718" t="s">
        <v>67</v>
      </c>
      <c r="AF327" s="700"/>
      <c r="AG327" s="700"/>
      <c r="AH327" s="547" t="s">
        <v>1806</v>
      </c>
      <c r="AI327" s="478"/>
      <c r="AJ327" s="189"/>
      <c r="AK327" s="568">
        <v>3401110001</v>
      </c>
      <c r="AM327" s="610" t="s">
        <v>1857</v>
      </c>
      <c r="AN327" s="611" t="s">
        <v>1858</v>
      </c>
      <c r="AO327" s="611" t="s">
        <v>885</v>
      </c>
      <c r="AP327" s="616" t="s">
        <v>1859</v>
      </c>
      <c r="AQ327" s="637" t="s">
        <v>1860</v>
      </c>
      <c r="AR327" s="621"/>
      <c r="AS327" s="618"/>
      <c r="AU327" s="189"/>
      <c r="AV327" s="189"/>
      <c r="AW327" s="189"/>
      <c r="AX327" s="512">
        <f t="shared" si="251"/>
        <v>1.248E-4</v>
      </c>
      <c r="AY327" s="507" t="e">
        <f>AX327*#REF!</f>
        <v>#REF!</v>
      </c>
      <c r="AZ327" s="189"/>
      <c r="BA327" s="189"/>
      <c r="BB327" s="189"/>
      <c r="BC327" s="517"/>
      <c r="BD327" s="189"/>
      <c r="BF327" s="445"/>
    </row>
    <row r="328" spans="1:58" ht="15" customHeight="1">
      <c r="A328" s="354">
        <v>4627101823244</v>
      </c>
      <c r="B328" s="100">
        <v>1956</v>
      </c>
      <c r="C328" s="251" t="s">
        <v>1861</v>
      </c>
      <c r="D328" s="826"/>
      <c r="E328" s="110" t="s">
        <v>682</v>
      </c>
      <c r="F328" s="248"/>
      <c r="G328" s="190"/>
      <c r="H328" s="190"/>
      <c r="I328" s="238"/>
      <c r="J328" s="238">
        <v>115</v>
      </c>
      <c r="K328" s="104">
        <f t="shared" si="245"/>
        <v>0</v>
      </c>
      <c r="L328" s="238">
        <f t="shared" si="252"/>
        <v>120.75</v>
      </c>
      <c r="M328" s="104">
        <f t="shared" si="246"/>
        <v>0</v>
      </c>
      <c r="N328" s="238">
        <f t="shared" si="253"/>
        <v>126.5</v>
      </c>
      <c r="O328" s="104">
        <f t="shared" si="247"/>
        <v>0</v>
      </c>
      <c r="P328" s="238">
        <f t="shared" si="254"/>
        <v>132.25</v>
      </c>
      <c r="Q328" s="104">
        <f t="shared" si="248"/>
        <v>0</v>
      </c>
      <c r="R328" s="238">
        <f t="shared" si="255"/>
        <v>143.75</v>
      </c>
      <c r="S328" s="104">
        <f t="shared" si="249"/>
        <v>0</v>
      </c>
      <c r="T328" s="105">
        <v>87</v>
      </c>
      <c r="U328" s="105">
        <f t="shared" si="250"/>
        <v>0</v>
      </c>
      <c r="V328" s="106"/>
      <c r="W328" s="301">
        <v>220</v>
      </c>
      <c r="Y328" s="567">
        <v>12</v>
      </c>
      <c r="Z328" s="189"/>
      <c r="AA328" s="541" t="s">
        <v>123</v>
      </c>
      <c r="AB328" s="537">
        <v>44193</v>
      </c>
      <c r="AC328" s="537">
        <v>46018</v>
      </c>
      <c r="AD328" s="718" t="s">
        <v>124</v>
      </c>
      <c r="AE328" s="718" t="s">
        <v>67</v>
      </c>
      <c r="AF328" s="700"/>
      <c r="AG328" s="700"/>
      <c r="AH328" s="547" t="s">
        <v>1806</v>
      </c>
      <c r="AI328" s="478"/>
      <c r="AJ328" s="189"/>
      <c r="AK328" s="568">
        <v>3401110001</v>
      </c>
      <c r="AM328" s="610" t="s">
        <v>1862</v>
      </c>
      <c r="AN328" s="611" t="s">
        <v>1863</v>
      </c>
      <c r="AO328" s="611" t="s">
        <v>1819</v>
      </c>
      <c r="AP328" s="612" t="s">
        <v>1864</v>
      </c>
      <c r="AQ328" s="609"/>
      <c r="AR328" s="619" t="s">
        <v>340</v>
      </c>
      <c r="AS328" s="615"/>
      <c r="AU328" s="189"/>
      <c r="AV328" s="189"/>
      <c r="AW328" s="189"/>
      <c r="AX328" s="512">
        <f t="shared" si="251"/>
        <v>1.248E-4</v>
      </c>
      <c r="AY328" s="507" t="e">
        <f>AX328*#REF!</f>
        <v>#REF!</v>
      </c>
      <c r="AZ328" s="189"/>
      <c r="BA328" s="189"/>
      <c r="BB328" s="189"/>
      <c r="BC328" s="517"/>
      <c r="BD328" s="189"/>
      <c r="BF328" s="445"/>
    </row>
    <row r="329" spans="1:58" ht="15" customHeight="1">
      <c r="A329" s="354">
        <v>4620748862775</v>
      </c>
      <c r="B329" s="100">
        <v>1374</v>
      </c>
      <c r="C329" s="251" t="s">
        <v>1865</v>
      </c>
      <c r="D329" s="826"/>
      <c r="E329" s="110" t="s">
        <v>682</v>
      </c>
      <c r="F329" s="248"/>
      <c r="G329" s="190"/>
      <c r="H329" s="190"/>
      <c r="I329" s="238"/>
      <c r="J329" s="238">
        <v>115</v>
      </c>
      <c r="K329" s="104">
        <f t="shared" si="245"/>
        <v>0</v>
      </c>
      <c r="L329" s="238">
        <f t="shared" si="252"/>
        <v>120.75</v>
      </c>
      <c r="M329" s="104">
        <f t="shared" si="246"/>
        <v>0</v>
      </c>
      <c r="N329" s="238">
        <f t="shared" si="253"/>
        <v>126.5</v>
      </c>
      <c r="O329" s="104">
        <f t="shared" si="247"/>
        <v>0</v>
      </c>
      <c r="P329" s="238">
        <f t="shared" si="254"/>
        <v>132.25</v>
      </c>
      <c r="Q329" s="104">
        <f t="shared" si="248"/>
        <v>0</v>
      </c>
      <c r="R329" s="238">
        <f t="shared" si="255"/>
        <v>143.75</v>
      </c>
      <c r="S329" s="104">
        <f t="shared" si="249"/>
        <v>0</v>
      </c>
      <c r="T329" s="105">
        <v>87</v>
      </c>
      <c r="U329" s="105">
        <f t="shared" si="250"/>
        <v>0</v>
      </c>
      <c r="V329" s="106"/>
      <c r="W329" s="301">
        <v>220</v>
      </c>
      <c r="Y329" s="567">
        <v>12</v>
      </c>
      <c r="Z329" s="189"/>
      <c r="AA329" s="541" t="s">
        <v>123</v>
      </c>
      <c r="AB329" s="537">
        <v>44193</v>
      </c>
      <c r="AC329" s="537">
        <v>46018</v>
      </c>
      <c r="AD329" s="718" t="s">
        <v>124</v>
      </c>
      <c r="AE329" s="718" t="s">
        <v>67</v>
      </c>
      <c r="AF329" s="700"/>
      <c r="AG329" s="700"/>
      <c r="AH329" s="547" t="s">
        <v>1806</v>
      </c>
      <c r="AI329" s="478"/>
      <c r="AJ329" s="189"/>
      <c r="AK329" s="568">
        <v>3401110001</v>
      </c>
      <c r="AM329" s="610" t="s">
        <v>1866</v>
      </c>
      <c r="AN329" s="611" t="s">
        <v>1867</v>
      </c>
      <c r="AO329" s="611" t="s">
        <v>885</v>
      </c>
      <c r="AP329" s="616" t="s">
        <v>1868</v>
      </c>
      <c r="AQ329" s="637" t="s">
        <v>1869</v>
      </c>
      <c r="AR329" s="621"/>
      <c r="AS329" s="618"/>
      <c r="AU329" s="189"/>
      <c r="AV329" s="189"/>
      <c r="AW329" s="189"/>
      <c r="AX329" s="512">
        <f t="shared" si="251"/>
        <v>1.248E-4</v>
      </c>
      <c r="AY329" s="507" t="e">
        <f>AX329*#REF!</f>
        <v>#REF!</v>
      </c>
      <c r="AZ329" s="189"/>
      <c r="BA329" s="189"/>
      <c r="BB329" s="189"/>
      <c r="BC329" s="517"/>
      <c r="BD329" s="189"/>
      <c r="BF329" s="445"/>
    </row>
    <row r="330" spans="1:58" ht="15" customHeight="1">
      <c r="A330" s="354">
        <v>4620748862713</v>
      </c>
      <c r="B330" s="100">
        <v>1376</v>
      </c>
      <c r="C330" s="251" t="s">
        <v>1870</v>
      </c>
      <c r="D330" s="826"/>
      <c r="E330" s="110" t="s">
        <v>682</v>
      </c>
      <c r="F330" s="248"/>
      <c r="G330" s="190"/>
      <c r="H330" s="190"/>
      <c r="I330" s="238"/>
      <c r="J330" s="238">
        <v>115</v>
      </c>
      <c r="K330" s="104">
        <f t="shared" si="245"/>
        <v>0</v>
      </c>
      <c r="L330" s="238">
        <f t="shared" si="252"/>
        <v>120.75</v>
      </c>
      <c r="M330" s="104">
        <f t="shared" si="246"/>
        <v>0</v>
      </c>
      <c r="N330" s="238">
        <f t="shared" si="253"/>
        <v>126.5</v>
      </c>
      <c r="O330" s="104">
        <f t="shared" si="247"/>
        <v>0</v>
      </c>
      <c r="P330" s="238">
        <f t="shared" si="254"/>
        <v>132.25</v>
      </c>
      <c r="Q330" s="104">
        <f t="shared" si="248"/>
        <v>0</v>
      </c>
      <c r="R330" s="238">
        <f t="shared" si="255"/>
        <v>143.75</v>
      </c>
      <c r="S330" s="104">
        <f t="shared" si="249"/>
        <v>0</v>
      </c>
      <c r="T330" s="105">
        <v>87</v>
      </c>
      <c r="U330" s="105">
        <f t="shared" si="250"/>
        <v>0</v>
      </c>
      <c r="V330" s="106"/>
      <c r="W330" s="301">
        <v>220</v>
      </c>
      <c r="Y330" s="567">
        <v>12</v>
      </c>
      <c r="Z330" s="189"/>
      <c r="AA330" s="541" t="s">
        <v>123</v>
      </c>
      <c r="AB330" s="537">
        <v>44193</v>
      </c>
      <c r="AC330" s="537">
        <v>46018</v>
      </c>
      <c r="AD330" s="718" t="s">
        <v>124</v>
      </c>
      <c r="AE330" s="718" t="s">
        <v>67</v>
      </c>
      <c r="AF330" s="700"/>
      <c r="AG330" s="700"/>
      <c r="AH330" s="547" t="s">
        <v>1806</v>
      </c>
      <c r="AI330" s="478"/>
      <c r="AJ330" s="189"/>
      <c r="AK330" s="568">
        <v>3401110001</v>
      </c>
      <c r="AM330" s="610" t="s">
        <v>1871</v>
      </c>
      <c r="AN330" s="611" t="s">
        <v>1872</v>
      </c>
      <c r="AO330" s="611" t="s">
        <v>885</v>
      </c>
      <c r="AP330" s="616" t="s">
        <v>1873</v>
      </c>
      <c r="AQ330" s="637" t="s">
        <v>1874</v>
      </c>
      <c r="AR330" s="621"/>
      <c r="AS330" s="618"/>
      <c r="AU330" s="189"/>
      <c r="AV330" s="189"/>
      <c r="AW330" s="189"/>
      <c r="AX330" s="512">
        <f t="shared" si="251"/>
        <v>1.248E-4</v>
      </c>
      <c r="AY330" s="507" t="e">
        <f>AX330*#REF!</f>
        <v>#REF!</v>
      </c>
      <c r="AZ330" s="189"/>
      <c r="BA330" s="189"/>
      <c r="BB330" s="189"/>
      <c r="BC330" s="517"/>
      <c r="BD330" s="189"/>
      <c r="BF330" s="445"/>
    </row>
    <row r="331" spans="1:58" ht="15" customHeight="1">
      <c r="A331" s="354" t="s">
        <v>895</v>
      </c>
      <c r="B331" s="100">
        <v>1446</v>
      </c>
      <c r="C331" s="251" t="s">
        <v>1875</v>
      </c>
      <c r="D331" s="826"/>
      <c r="E331" s="110" t="s">
        <v>682</v>
      </c>
      <c r="F331" s="248"/>
      <c r="G331" s="190"/>
      <c r="H331" s="111"/>
      <c r="I331" s="238"/>
      <c r="J331" s="238">
        <v>200</v>
      </c>
      <c r="K331" s="104">
        <f t="shared" si="245"/>
        <v>0</v>
      </c>
      <c r="L331" s="238">
        <f t="shared" si="252"/>
        <v>210</v>
      </c>
      <c r="M331" s="104">
        <f t="shared" si="246"/>
        <v>0</v>
      </c>
      <c r="N331" s="238">
        <f t="shared" si="253"/>
        <v>220</v>
      </c>
      <c r="O331" s="104">
        <f t="shared" si="247"/>
        <v>0</v>
      </c>
      <c r="P331" s="238">
        <f t="shared" si="254"/>
        <v>230</v>
      </c>
      <c r="Q331" s="104">
        <f t="shared" si="248"/>
        <v>0</v>
      </c>
      <c r="R331" s="238">
        <f t="shared" si="255"/>
        <v>250</v>
      </c>
      <c r="S331" s="104">
        <f t="shared" si="249"/>
        <v>0</v>
      </c>
      <c r="T331" s="105">
        <v>96</v>
      </c>
      <c r="U331" s="105">
        <f t="shared" si="250"/>
        <v>0</v>
      </c>
      <c r="V331" s="106"/>
      <c r="W331" s="301">
        <v>380</v>
      </c>
      <c r="Y331" s="567">
        <v>12</v>
      </c>
      <c r="Z331" s="189"/>
      <c r="AA331" s="541" t="s">
        <v>123</v>
      </c>
      <c r="AB331" s="537">
        <v>44193</v>
      </c>
      <c r="AC331" s="537">
        <v>46018</v>
      </c>
      <c r="AD331" s="718" t="s">
        <v>124</v>
      </c>
      <c r="AE331" s="718" t="s">
        <v>67</v>
      </c>
      <c r="AF331" s="700"/>
      <c r="AG331" s="700"/>
      <c r="AH331" s="547"/>
      <c r="AI331" s="478"/>
      <c r="AJ331" s="189"/>
      <c r="AK331" s="568">
        <v>3401110001</v>
      </c>
      <c r="AM331" s="661"/>
      <c r="AN331" s="662"/>
      <c r="AO331" s="662"/>
      <c r="AP331" s="616"/>
      <c r="AQ331" s="609"/>
      <c r="AR331" s="621"/>
      <c r="AS331" s="618"/>
      <c r="AU331" s="189"/>
      <c r="AV331" s="189"/>
      <c r="AW331" s="189"/>
      <c r="AX331" s="521"/>
      <c r="AY331" s="507"/>
      <c r="AZ331" s="189"/>
      <c r="BA331" s="189"/>
      <c r="BB331" s="189"/>
      <c r="BC331" s="517"/>
      <c r="BD331" s="189"/>
      <c r="BF331" s="445"/>
    </row>
    <row r="332" spans="1:58" ht="15" customHeight="1">
      <c r="A332" s="354" t="s">
        <v>895</v>
      </c>
      <c r="B332" s="100">
        <v>1444</v>
      </c>
      <c r="C332" s="251" t="s">
        <v>1876</v>
      </c>
      <c r="D332" s="826"/>
      <c r="E332" s="110" t="s">
        <v>1877</v>
      </c>
      <c r="F332" s="248"/>
      <c r="G332" s="190"/>
      <c r="H332" s="190"/>
      <c r="I332" s="238"/>
      <c r="J332" s="238">
        <v>56</v>
      </c>
      <c r="K332" s="104">
        <f t="shared" si="245"/>
        <v>0</v>
      </c>
      <c r="L332" s="238">
        <f t="shared" si="252"/>
        <v>58.8</v>
      </c>
      <c r="M332" s="104">
        <f t="shared" si="246"/>
        <v>0</v>
      </c>
      <c r="N332" s="238">
        <f t="shared" si="253"/>
        <v>61.6</v>
      </c>
      <c r="O332" s="104">
        <f t="shared" si="247"/>
        <v>0</v>
      </c>
      <c r="P332" s="238">
        <f t="shared" si="254"/>
        <v>64.400000000000006</v>
      </c>
      <c r="Q332" s="104">
        <f t="shared" si="248"/>
        <v>0</v>
      </c>
      <c r="R332" s="238">
        <f t="shared" si="255"/>
        <v>70</v>
      </c>
      <c r="S332" s="104">
        <f t="shared" si="249"/>
        <v>0</v>
      </c>
      <c r="T332" s="105">
        <v>41</v>
      </c>
      <c r="U332" s="105">
        <f t="shared" si="250"/>
        <v>0</v>
      </c>
      <c r="V332" s="106"/>
      <c r="W332" s="301">
        <v>105</v>
      </c>
      <c r="Y332" s="567">
        <v>12</v>
      </c>
      <c r="Z332" s="189"/>
      <c r="AA332" s="541" t="s">
        <v>123</v>
      </c>
      <c r="AB332" s="537">
        <v>44193</v>
      </c>
      <c r="AC332" s="537">
        <v>46018</v>
      </c>
      <c r="AD332" s="718" t="s">
        <v>124</v>
      </c>
      <c r="AE332" s="718" t="s">
        <v>67</v>
      </c>
      <c r="AF332" s="700"/>
      <c r="AG332" s="700"/>
      <c r="AH332" s="547"/>
      <c r="AI332" s="478"/>
      <c r="AJ332" s="189"/>
      <c r="AK332" s="568">
        <v>3401110001</v>
      </c>
      <c r="AM332" s="661"/>
      <c r="AN332" s="662"/>
      <c r="AO332" s="662"/>
      <c r="AP332" s="616"/>
      <c r="AQ332" s="609"/>
      <c r="AR332" s="621"/>
      <c r="AS332" s="618"/>
      <c r="AU332" s="189"/>
      <c r="AV332" s="189"/>
      <c r="AW332" s="189"/>
      <c r="AX332" s="521"/>
      <c r="AY332" s="507"/>
      <c r="AZ332" s="189"/>
      <c r="BA332" s="189"/>
      <c r="BB332" s="189"/>
      <c r="BC332" s="517"/>
      <c r="BD332" s="189"/>
      <c r="BF332" s="445"/>
    </row>
    <row r="333" spans="1:58" ht="15" customHeight="1">
      <c r="A333" s="354" t="s">
        <v>895</v>
      </c>
      <c r="B333" s="100">
        <v>1464</v>
      </c>
      <c r="C333" s="251" t="s">
        <v>1878</v>
      </c>
      <c r="D333" s="826"/>
      <c r="E333" s="110" t="s">
        <v>1879</v>
      </c>
      <c r="F333" s="248"/>
      <c r="G333" s="190"/>
      <c r="H333" s="190"/>
      <c r="I333" s="190"/>
      <c r="J333" s="238">
        <v>37</v>
      </c>
      <c r="K333" s="104">
        <f t="shared" si="245"/>
        <v>0</v>
      </c>
      <c r="L333" s="238">
        <f t="shared" si="252"/>
        <v>38.85</v>
      </c>
      <c r="M333" s="104">
        <f t="shared" si="246"/>
        <v>0</v>
      </c>
      <c r="N333" s="238">
        <f t="shared" si="253"/>
        <v>40.700000000000003</v>
      </c>
      <c r="O333" s="104">
        <f t="shared" si="247"/>
        <v>0</v>
      </c>
      <c r="P333" s="238">
        <f t="shared" si="254"/>
        <v>42.55</v>
      </c>
      <c r="Q333" s="104">
        <f t="shared" si="248"/>
        <v>0</v>
      </c>
      <c r="R333" s="238">
        <f t="shared" si="255"/>
        <v>46.25</v>
      </c>
      <c r="S333" s="104">
        <f t="shared" si="249"/>
        <v>0</v>
      </c>
      <c r="T333" s="105">
        <v>21</v>
      </c>
      <c r="U333" s="105">
        <f t="shared" si="250"/>
        <v>0</v>
      </c>
      <c r="V333" s="106"/>
      <c r="W333" s="301">
        <v>70.3</v>
      </c>
      <c r="Y333" s="567">
        <v>12</v>
      </c>
      <c r="Z333" s="189"/>
      <c r="AA333" s="541" t="s">
        <v>123</v>
      </c>
      <c r="AB333" s="537">
        <v>44193</v>
      </c>
      <c r="AC333" s="537">
        <v>46018</v>
      </c>
      <c r="AD333" s="718" t="s">
        <v>124</v>
      </c>
      <c r="AE333" s="718" t="s">
        <v>67</v>
      </c>
      <c r="AF333" s="700"/>
      <c r="AG333" s="700"/>
      <c r="AH333" s="547"/>
      <c r="AI333" s="478"/>
      <c r="AJ333" s="189"/>
      <c r="AK333" s="568">
        <v>3401110001</v>
      </c>
      <c r="AM333" s="661"/>
      <c r="AN333" s="662"/>
      <c r="AO333" s="662"/>
      <c r="AP333" s="616"/>
      <c r="AQ333" s="609"/>
      <c r="AR333" s="621"/>
      <c r="AS333" s="618"/>
      <c r="AU333" s="189"/>
      <c r="AV333" s="189"/>
      <c r="AW333" s="189"/>
      <c r="AX333" s="521"/>
      <c r="AY333" s="507"/>
      <c r="AZ333" s="189"/>
      <c r="BA333" s="189"/>
      <c r="BB333" s="189"/>
      <c r="BC333" s="517"/>
      <c r="BD333" s="189"/>
      <c r="BF333" s="445"/>
    </row>
    <row r="334" spans="1:58" ht="21" customHeight="1">
      <c r="A334" s="485" t="s">
        <v>156</v>
      </c>
      <c r="B334" s="333"/>
      <c r="C334" s="334" t="s">
        <v>1880</v>
      </c>
      <c r="D334" s="828"/>
      <c r="E334" s="335"/>
      <c r="F334" s="491"/>
      <c r="G334" s="289"/>
      <c r="H334" s="362"/>
      <c r="I334" s="289"/>
      <c r="J334" s="357"/>
      <c r="K334" s="488">
        <f>M343+K335+K336+K337+K338+K339</f>
        <v>0</v>
      </c>
      <c r="L334" s="489"/>
      <c r="M334" s="488">
        <f>M335+M336+M337+M338+M339</f>
        <v>0</v>
      </c>
      <c r="N334" s="489"/>
      <c r="O334" s="488">
        <f>O335+O336+O337+O338+O339</f>
        <v>0</v>
      </c>
      <c r="P334" s="489"/>
      <c r="Q334" s="488">
        <f>SUM(Q335:Q339)</f>
        <v>0</v>
      </c>
      <c r="R334" s="489"/>
      <c r="S334" s="488">
        <f>S335+S336+S337+S338+S339</f>
        <v>0</v>
      </c>
      <c r="T334" s="346"/>
      <c r="U334" s="313">
        <f>SUM(U335:U339)</f>
        <v>0</v>
      </c>
      <c r="V334" s="293"/>
      <c r="W334" s="293"/>
      <c r="Y334" s="562"/>
      <c r="Z334" s="293"/>
      <c r="AA334" s="772"/>
      <c r="AB334" s="543"/>
      <c r="AC334" s="543"/>
      <c r="AD334" s="716"/>
      <c r="AE334" s="716"/>
      <c r="AF334" s="701"/>
      <c r="AG334" s="701"/>
      <c r="AH334" s="546"/>
      <c r="AI334" s="675"/>
      <c r="AJ334" s="293"/>
      <c r="AK334" s="563"/>
      <c r="AL334" s="554"/>
      <c r="AM334" s="562"/>
      <c r="AN334" s="293"/>
      <c r="AO334" s="293"/>
      <c r="AP334" s="293"/>
      <c r="AQ334" s="293"/>
      <c r="AR334" s="293"/>
      <c r="AS334" s="563"/>
      <c r="AU334" s="293"/>
      <c r="AV334" s="293"/>
      <c r="AW334" s="293"/>
      <c r="AX334" s="293"/>
      <c r="AY334" s="293"/>
      <c r="AZ334" s="293"/>
      <c r="BA334" s="293"/>
      <c r="BB334" s="293"/>
      <c r="BC334" s="293"/>
      <c r="BD334" s="293"/>
      <c r="BF334" s="445"/>
    </row>
    <row r="335" spans="1:58" ht="16.5" customHeight="1">
      <c r="A335" s="116">
        <v>4620748861617</v>
      </c>
      <c r="B335" s="100">
        <v>1775</v>
      </c>
      <c r="C335" s="253" t="s">
        <v>1881</v>
      </c>
      <c r="D335" s="830"/>
      <c r="E335" s="101" t="s">
        <v>1882</v>
      </c>
      <c r="F335" s="249"/>
      <c r="G335" s="240"/>
      <c r="H335" s="240"/>
      <c r="I335" s="238"/>
      <c r="J335" s="367">
        <v>145</v>
      </c>
      <c r="K335" s="104">
        <f t="shared" ref="K335:K339" si="256">J335*F335</f>
        <v>0</v>
      </c>
      <c r="L335" s="238">
        <f t="shared" ref="L335:L339" si="257">J335+J335*5%</f>
        <v>152.25</v>
      </c>
      <c r="M335" s="104">
        <f t="shared" ref="M335:M339" si="258">F335*L335</f>
        <v>0</v>
      </c>
      <c r="N335" s="238">
        <f t="shared" ref="N335:N339" si="259">J335+J335*10%</f>
        <v>159.5</v>
      </c>
      <c r="O335" s="104">
        <f t="shared" ref="O335:O339" si="260">F335*N335</f>
        <v>0</v>
      </c>
      <c r="P335" s="238">
        <f t="shared" ref="P335:P339" si="261">J335+J335*15%</f>
        <v>166.75</v>
      </c>
      <c r="Q335" s="104">
        <f t="shared" ref="Q335:Q339" si="262">F335*P335</f>
        <v>0</v>
      </c>
      <c r="R335" s="238">
        <f t="shared" ref="R335:R339" si="263">J335+J335*25%</f>
        <v>181.25</v>
      </c>
      <c r="S335" s="104">
        <f t="shared" ref="S335:S339" si="264">F335*R335</f>
        <v>0</v>
      </c>
      <c r="T335" s="105">
        <v>135</v>
      </c>
      <c r="U335" s="105">
        <f t="shared" ref="U335:U339" si="265">T335*F335</f>
        <v>0</v>
      </c>
      <c r="V335" s="106"/>
      <c r="W335" s="301">
        <v>275</v>
      </c>
      <c r="Y335" s="567">
        <v>12</v>
      </c>
      <c r="Z335" s="189"/>
      <c r="AA335" s="541" t="s">
        <v>123</v>
      </c>
      <c r="AB335" s="537">
        <v>44193</v>
      </c>
      <c r="AC335" s="537">
        <v>46018</v>
      </c>
      <c r="AD335" s="769" t="s">
        <v>124</v>
      </c>
      <c r="AE335" s="718" t="s">
        <v>67</v>
      </c>
      <c r="AF335" s="700"/>
      <c r="AG335" s="700"/>
      <c r="AH335" s="547" t="s">
        <v>1883</v>
      </c>
      <c r="AI335" s="478"/>
      <c r="AJ335" s="189"/>
      <c r="AK335" s="568">
        <v>3401110001</v>
      </c>
      <c r="AM335" s="610" t="s">
        <v>1884</v>
      </c>
      <c r="AN335" s="611" t="s">
        <v>1885</v>
      </c>
      <c r="AO335" s="611" t="s">
        <v>885</v>
      </c>
      <c r="AP335" s="612" t="s">
        <v>1886</v>
      </c>
      <c r="AQ335" s="637" t="s">
        <v>1887</v>
      </c>
      <c r="AR335" s="619" t="s">
        <v>340</v>
      </c>
      <c r="AS335" s="615"/>
      <c r="AU335" s="189"/>
      <c r="AV335" s="189"/>
      <c r="AW335" s="189"/>
      <c r="AX335" s="521">
        <f>83*59*37/1000000000</f>
        <v>1.81189E-4</v>
      </c>
      <c r="AY335" s="507"/>
      <c r="AZ335" s="189"/>
      <c r="BA335" s="189"/>
      <c r="BB335" s="189"/>
      <c r="BC335" s="517"/>
      <c r="BD335" s="189"/>
      <c r="BF335" s="445"/>
    </row>
    <row r="336" spans="1:58" ht="15" customHeight="1">
      <c r="A336" s="331">
        <v>4627101822537</v>
      </c>
      <c r="B336" s="100">
        <v>1781</v>
      </c>
      <c r="C336" s="251" t="s">
        <v>1888</v>
      </c>
      <c r="D336" s="826"/>
      <c r="E336" s="110" t="s">
        <v>252</v>
      </c>
      <c r="F336" s="249"/>
      <c r="G336" s="240"/>
      <c r="H336" s="240"/>
      <c r="I336" s="238"/>
      <c r="J336" s="367">
        <v>190</v>
      </c>
      <c r="K336" s="104">
        <f t="shared" si="256"/>
        <v>0</v>
      </c>
      <c r="L336" s="238">
        <f t="shared" si="257"/>
        <v>199.5</v>
      </c>
      <c r="M336" s="104">
        <f t="shared" si="258"/>
        <v>0</v>
      </c>
      <c r="N336" s="238">
        <f t="shared" si="259"/>
        <v>209</v>
      </c>
      <c r="O336" s="104">
        <f t="shared" si="260"/>
        <v>0</v>
      </c>
      <c r="P336" s="238">
        <f t="shared" si="261"/>
        <v>218.5</v>
      </c>
      <c r="Q336" s="104">
        <f t="shared" si="262"/>
        <v>0</v>
      </c>
      <c r="R336" s="238">
        <f t="shared" si="263"/>
        <v>237.5</v>
      </c>
      <c r="S336" s="104">
        <f t="shared" si="264"/>
        <v>0</v>
      </c>
      <c r="T336" s="105">
        <v>85</v>
      </c>
      <c r="U336" s="105">
        <f t="shared" si="265"/>
        <v>0</v>
      </c>
      <c r="V336" s="106"/>
      <c r="W336" s="301">
        <v>360</v>
      </c>
      <c r="Y336" s="567">
        <v>12</v>
      </c>
      <c r="Z336" s="189"/>
      <c r="AA336" s="541" t="s">
        <v>123</v>
      </c>
      <c r="AB336" s="537">
        <v>44193</v>
      </c>
      <c r="AC336" s="537">
        <v>46018</v>
      </c>
      <c r="AD336" s="769" t="s">
        <v>124</v>
      </c>
      <c r="AE336" s="718" t="s">
        <v>67</v>
      </c>
      <c r="AF336" s="700"/>
      <c r="AG336" s="700"/>
      <c r="AH336" s="547" t="s">
        <v>759</v>
      </c>
      <c r="AI336" s="478"/>
      <c r="AJ336" s="189"/>
      <c r="AK336" s="568">
        <v>3401110001</v>
      </c>
      <c r="AM336" s="610" t="s">
        <v>1889</v>
      </c>
      <c r="AN336" s="611" t="s">
        <v>1890</v>
      </c>
      <c r="AO336" s="611" t="s">
        <v>1891</v>
      </c>
      <c r="AP336" s="616" t="s">
        <v>1892</v>
      </c>
      <c r="AQ336" s="609" t="s">
        <v>1893</v>
      </c>
      <c r="AR336" s="621"/>
      <c r="AS336" s="618"/>
      <c r="AU336" s="189"/>
      <c r="AV336" s="189"/>
      <c r="AW336" s="189"/>
      <c r="AX336" s="521">
        <f>47*63*63/1000000000</f>
        <v>1.8654300000000001E-4</v>
      </c>
      <c r="AY336" s="507"/>
      <c r="AZ336" s="189"/>
      <c r="BA336" s="189"/>
      <c r="BB336" s="189"/>
      <c r="BC336" s="517"/>
      <c r="BD336" s="189"/>
      <c r="BF336" s="445"/>
    </row>
    <row r="337" spans="1:72" ht="15.75" customHeight="1">
      <c r="A337" s="116">
        <v>4620748861778</v>
      </c>
      <c r="B337" s="100">
        <v>1780</v>
      </c>
      <c r="C337" s="253" t="s">
        <v>1894</v>
      </c>
      <c r="D337" s="830"/>
      <c r="E337" s="101" t="s">
        <v>585</v>
      </c>
      <c r="F337" s="249"/>
      <c r="G337" s="240"/>
      <c r="H337" s="240"/>
      <c r="I337" s="238"/>
      <c r="J337" s="408">
        <v>415</v>
      </c>
      <c r="K337" s="104">
        <f t="shared" si="256"/>
        <v>0</v>
      </c>
      <c r="L337" s="238">
        <f t="shared" si="257"/>
        <v>435.75</v>
      </c>
      <c r="M337" s="104">
        <f t="shared" si="258"/>
        <v>0</v>
      </c>
      <c r="N337" s="238">
        <f t="shared" si="259"/>
        <v>456.5</v>
      </c>
      <c r="O337" s="104">
        <f t="shared" si="260"/>
        <v>0</v>
      </c>
      <c r="P337" s="238">
        <f t="shared" si="261"/>
        <v>477.25</v>
      </c>
      <c r="Q337" s="104">
        <f t="shared" si="262"/>
        <v>0</v>
      </c>
      <c r="R337" s="238">
        <f t="shared" si="263"/>
        <v>518.75</v>
      </c>
      <c r="S337" s="104">
        <f t="shared" si="264"/>
        <v>0</v>
      </c>
      <c r="T337" s="105">
        <v>315</v>
      </c>
      <c r="U337" s="105">
        <f t="shared" si="265"/>
        <v>0</v>
      </c>
      <c r="V337" s="106"/>
      <c r="W337" s="301">
        <v>785</v>
      </c>
      <c r="Y337" s="567">
        <v>12</v>
      </c>
      <c r="Z337" s="189"/>
      <c r="AA337" s="541" t="s">
        <v>123</v>
      </c>
      <c r="AB337" s="537">
        <v>44193</v>
      </c>
      <c r="AC337" s="537">
        <v>46018</v>
      </c>
      <c r="AD337" s="769" t="s">
        <v>124</v>
      </c>
      <c r="AE337" s="718" t="s">
        <v>67</v>
      </c>
      <c r="AF337" s="700"/>
      <c r="AG337" s="700"/>
      <c r="AH337" s="547"/>
      <c r="AI337" s="478"/>
      <c r="AJ337" s="189"/>
      <c r="AK337" s="568">
        <v>3401110001</v>
      </c>
      <c r="AM337" s="610" t="s">
        <v>1889</v>
      </c>
      <c r="AN337" s="611" t="s">
        <v>1890</v>
      </c>
      <c r="AO337" s="611" t="s">
        <v>1891</v>
      </c>
      <c r="AP337" s="616" t="s">
        <v>1895</v>
      </c>
      <c r="AQ337" s="637" t="s">
        <v>1893</v>
      </c>
      <c r="AR337" s="619" t="s">
        <v>340</v>
      </c>
      <c r="AS337" s="615"/>
      <c r="AU337" s="189"/>
      <c r="AV337" s="189"/>
      <c r="AW337" s="189"/>
      <c r="AX337" s="521"/>
      <c r="AY337" s="507"/>
      <c r="AZ337" s="189"/>
      <c r="BA337" s="189"/>
      <c r="BB337" s="189"/>
      <c r="BC337" s="517"/>
      <c r="BD337" s="189"/>
      <c r="BF337" s="445"/>
    </row>
    <row r="338" spans="1:72" ht="16.149999999999999" customHeight="1">
      <c r="A338" s="116">
        <v>4627101820816</v>
      </c>
      <c r="B338" s="100">
        <v>1779</v>
      </c>
      <c r="C338" s="253" t="s">
        <v>1896</v>
      </c>
      <c r="D338" s="830"/>
      <c r="E338" s="101" t="s">
        <v>1897</v>
      </c>
      <c r="F338" s="249"/>
      <c r="G338" s="240"/>
      <c r="H338" s="240"/>
      <c r="I338" s="238"/>
      <c r="J338" s="367">
        <v>1400</v>
      </c>
      <c r="K338" s="104">
        <f t="shared" si="256"/>
        <v>0</v>
      </c>
      <c r="L338" s="238">
        <f t="shared" si="257"/>
        <v>1470</v>
      </c>
      <c r="M338" s="104">
        <f t="shared" si="258"/>
        <v>0</v>
      </c>
      <c r="N338" s="238">
        <f t="shared" si="259"/>
        <v>1540</v>
      </c>
      <c r="O338" s="104">
        <f t="shared" si="260"/>
        <v>0</v>
      </c>
      <c r="P338" s="238">
        <f t="shared" si="261"/>
        <v>1610</v>
      </c>
      <c r="Q338" s="104">
        <f t="shared" si="262"/>
        <v>0</v>
      </c>
      <c r="R338" s="238">
        <f t="shared" si="263"/>
        <v>1750</v>
      </c>
      <c r="S338" s="104">
        <f t="shared" si="264"/>
        <v>0</v>
      </c>
      <c r="T338" s="105">
        <v>1057</v>
      </c>
      <c r="U338" s="105">
        <f t="shared" si="265"/>
        <v>0</v>
      </c>
      <c r="V338" s="106"/>
      <c r="W338" s="301">
        <v>2660</v>
      </c>
      <c r="Y338" s="567">
        <v>12</v>
      </c>
      <c r="Z338" s="189"/>
      <c r="AA338" s="541" t="s">
        <v>123</v>
      </c>
      <c r="AB338" s="537">
        <v>44193</v>
      </c>
      <c r="AC338" s="537">
        <v>46018</v>
      </c>
      <c r="AD338" s="769" t="s">
        <v>124</v>
      </c>
      <c r="AE338" s="718" t="s">
        <v>67</v>
      </c>
      <c r="AF338" s="700"/>
      <c r="AG338" s="700"/>
      <c r="AH338" s="547"/>
      <c r="AI338" s="478"/>
      <c r="AJ338" s="189"/>
      <c r="AK338" s="568">
        <v>3401110001</v>
      </c>
      <c r="AM338" s="610" t="s">
        <v>1889</v>
      </c>
      <c r="AN338" s="611" t="s">
        <v>1890</v>
      </c>
      <c r="AO338" s="611" t="s">
        <v>1891</v>
      </c>
      <c r="AP338" s="636" t="s">
        <v>1898</v>
      </c>
      <c r="AQ338" s="609" t="s">
        <v>1893</v>
      </c>
      <c r="AR338" s="634"/>
      <c r="AS338" s="635"/>
      <c r="AU338" s="189"/>
      <c r="AV338" s="189"/>
      <c r="AW338" s="189"/>
      <c r="AX338" s="521"/>
      <c r="AY338" s="507"/>
      <c r="AZ338" s="189"/>
      <c r="BA338" s="189"/>
      <c r="BB338" s="189"/>
      <c r="BC338" s="517"/>
      <c r="BD338" s="189"/>
      <c r="BF338" s="445"/>
    </row>
    <row r="339" spans="1:72" ht="15.75" customHeight="1">
      <c r="A339" s="116">
        <v>4620748861594</v>
      </c>
      <c r="B339" s="100">
        <v>1777</v>
      </c>
      <c r="C339" s="253" t="s">
        <v>1899</v>
      </c>
      <c r="D339" s="830"/>
      <c r="E339" s="101" t="s">
        <v>1900</v>
      </c>
      <c r="F339" s="249"/>
      <c r="G339" s="240"/>
      <c r="H339" s="240"/>
      <c r="I339" s="238"/>
      <c r="J339" s="367">
        <v>130</v>
      </c>
      <c r="K339" s="104">
        <f t="shared" si="256"/>
        <v>0</v>
      </c>
      <c r="L339" s="238">
        <f t="shared" si="257"/>
        <v>136.5</v>
      </c>
      <c r="M339" s="104">
        <f t="shared" si="258"/>
        <v>0</v>
      </c>
      <c r="N339" s="238">
        <f t="shared" si="259"/>
        <v>143</v>
      </c>
      <c r="O339" s="104">
        <f t="shared" si="260"/>
        <v>0</v>
      </c>
      <c r="P339" s="238">
        <f t="shared" si="261"/>
        <v>149.5</v>
      </c>
      <c r="Q339" s="104">
        <f t="shared" si="262"/>
        <v>0</v>
      </c>
      <c r="R339" s="238">
        <f t="shared" si="263"/>
        <v>162.5</v>
      </c>
      <c r="S339" s="104">
        <f t="shared" si="264"/>
        <v>0</v>
      </c>
      <c r="T339" s="105">
        <v>135</v>
      </c>
      <c r="U339" s="105">
        <f t="shared" si="265"/>
        <v>0</v>
      </c>
      <c r="V339" s="106"/>
      <c r="W339" s="301">
        <v>250</v>
      </c>
      <c r="Y339" s="567">
        <v>12</v>
      </c>
      <c r="Z339" s="189"/>
      <c r="AA339" s="541" t="s">
        <v>123</v>
      </c>
      <c r="AB339" s="537">
        <v>44193</v>
      </c>
      <c r="AC339" s="537">
        <v>46018</v>
      </c>
      <c r="AD339" s="769" t="s">
        <v>124</v>
      </c>
      <c r="AE339" s="718" t="s">
        <v>67</v>
      </c>
      <c r="AF339" s="700"/>
      <c r="AG339" s="700"/>
      <c r="AH339" s="547"/>
      <c r="AI339" s="478"/>
      <c r="AJ339" s="189"/>
      <c r="AK339" s="568">
        <v>3401110001</v>
      </c>
      <c r="AM339" s="610" t="s">
        <v>1901</v>
      </c>
      <c r="AN339" s="611" t="s">
        <v>1902</v>
      </c>
      <c r="AO339" s="611" t="s">
        <v>1903</v>
      </c>
      <c r="AP339" s="612" t="s">
        <v>1904</v>
      </c>
      <c r="AQ339" s="637" t="s">
        <v>1905</v>
      </c>
      <c r="AR339" s="619" t="s">
        <v>340</v>
      </c>
      <c r="AS339" s="615"/>
      <c r="AU339" s="189"/>
      <c r="AV339" s="189"/>
      <c r="AW339" s="189"/>
      <c r="AX339" s="521"/>
      <c r="AY339" s="507"/>
      <c r="AZ339" s="189"/>
      <c r="BA339" s="189"/>
      <c r="BB339" s="189"/>
      <c r="BC339" s="517"/>
      <c r="BD339" s="189"/>
      <c r="BF339" s="445"/>
    </row>
    <row r="340" spans="1:72" ht="20.25" customHeight="1">
      <c r="A340" s="485" t="s">
        <v>156</v>
      </c>
      <c r="B340" s="274"/>
      <c r="C340" s="393" t="s">
        <v>1906</v>
      </c>
      <c r="D340" s="835"/>
      <c r="E340" s="394"/>
      <c r="F340" s="491"/>
      <c r="G340" s="289"/>
      <c r="H340" s="289"/>
      <c r="I340" s="356"/>
      <c r="J340" s="357"/>
      <c r="K340" s="488">
        <f>K345+K346+K347+K348+K349+K350+K351+K352+K353+K354+K355+K356+K357+K344+K342+K343+K341</f>
        <v>0</v>
      </c>
      <c r="L340" s="489"/>
      <c r="M340" s="488">
        <f>M345+M346+M347+M348+M349+M350+M351+M352+M353+M354+M355+M356+M357+M344+M342+M343+M341</f>
        <v>0</v>
      </c>
      <c r="N340" s="489"/>
      <c r="O340" s="488">
        <f>O345+O346+O347+O348+O349+O350+O351+O352+O353+O354+O355+O356+O357+O344+O342+O343+O341</f>
        <v>0</v>
      </c>
      <c r="P340" s="489"/>
      <c r="Q340" s="488">
        <f>Q345+Q346+Q347+Q348+Q349+Q350+Q351+Q352+Q353+Q354+Q355+Q356+Q357+Q344+Q342+Q343+Q341</f>
        <v>0</v>
      </c>
      <c r="R340" s="489"/>
      <c r="S340" s="488">
        <f>S345+S346+S347+S348+S349+S350+S351+S352+S353+S354+S355+S356+S357+S344+S342+S343+S341</f>
        <v>0</v>
      </c>
      <c r="T340" s="346"/>
      <c r="U340" s="313">
        <f>U342+U343+U344+U345+U346+U347+U348+U349+U350+U351+U352+U353+U354+U355+U356+U357</f>
        <v>0</v>
      </c>
      <c r="V340" s="293"/>
      <c r="W340" s="293"/>
      <c r="Y340" s="562"/>
      <c r="Z340" s="293"/>
      <c r="AA340" s="772"/>
      <c r="AB340" s="543"/>
      <c r="AC340" s="543"/>
      <c r="AD340" s="716"/>
      <c r="AE340" s="716"/>
      <c r="AF340" s="701"/>
      <c r="AG340" s="701"/>
      <c r="AH340" s="546"/>
      <c r="AI340" s="675"/>
      <c r="AJ340" s="293"/>
      <c r="AK340" s="563"/>
      <c r="AL340" s="554"/>
      <c r="AM340" s="562"/>
      <c r="AN340" s="293"/>
      <c r="AO340" s="293"/>
      <c r="AP340" s="293"/>
      <c r="AQ340" s="293"/>
      <c r="AR340" s="293"/>
      <c r="AS340" s="563"/>
      <c r="AU340" s="293"/>
      <c r="AV340" s="293"/>
      <c r="AW340" s="293"/>
      <c r="AX340" s="293"/>
      <c r="AY340" s="293"/>
      <c r="AZ340" s="293"/>
      <c r="BA340" s="293"/>
      <c r="BB340" s="293"/>
      <c r="BC340" s="293"/>
      <c r="BD340" s="293"/>
      <c r="BF340" s="445"/>
    </row>
    <row r="341" spans="1:72" s="285" customFormat="1" ht="15.75" customHeight="1">
      <c r="A341" s="277" t="s">
        <v>1907</v>
      </c>
      <c r="B341" s="324">
        <v>3603</v>
      </c>
      <c r="C341" s="409" t="s">
        <v>1908</v>
      </c>
      <c r="D341" s="836"/>
      <c r="E341" s="410" t="s">
        <v>1909</v>
      </c>
      <c r="F341" s="325"/>
      <c r="G341" s="411"/>
      <c r="H341" s="411"/>
      <c r="I341" s="412"/>
      <c r="J341" s="413">
        <v>325</v>
      </c>
      <c r="K341" s="292">
        <f>J341*F341</f>
        <v>0</v>
      </c>
      <c r="L341" s="413">
        <f>J341+J341*5%</f>
        <v>341.25</v>
      </c>
      <c r="M341" s="292">
        <f>L341*F341</f>
        <v>0</v>
      </c>
      <c r="N341" s="413">
        <f>J341+J341*10%</f>
        <v>357.5</v>
      </c>
      <c r="O341" s="292">
        <f>N341*F341</f>
        <v>0</v>
      </c>
      <c r="P341" s="413">
        <f>J341+J341*15%</f>
        <v>373.75</v>
      </c>
      <c r="Q341" s="292">
        <f>P341*F341</f>
        <v>0</v>
      </c>
      <c r="R341" s="413">
        <f>J341+J341*25%</f>
        <v>406.25</v>
      </c>
      <c r="S341" s="292">
        <f>R341*F341</f>
        <v>0</v>
      </c>
      <c r="T341" s="350">
        <v>130</v>
      </c>
      <c r="U341" s="242">
        <f>T341*F341</f>
        <v>0</v>
      </c>
      <c r="V341" s="243"/>
      <c r="W341" s="301">
        <v>615</v>
      </c>
      <c r="Y341" s="795">
        <v>12</v>
      </c>
      <c r="Z341" s="221"/>
      <c r="AA341" s="969" t="s">
        <v>123</v>
      </c>
      <c r="AB341" s="970">
        <v>44193</v>
      </c>
      <c r="AC341" s="970">
        <v>46018</v>
      </c>
      <c r="AD341" s="971" t="s">
        <v>124</v>
      </c>
      <c r="AE341" s="972" t="s">
        <v>67</v>
      </c>
      <c r="AF341" s="973"/>
      <c r="AG341" s="973"/>
      <c r="AH341" s="974"/>
      <c r="AI341" s="975"/>
      <c r="AJ341" s="128"/>
      <c r="AK341" s="976">
        <v>3401110001</v>
      </c>
      <c r="AL341" s="551"/>
      <c r="AM341" s="800" t="s">
        <v>1910</v>
      </c>
      <c r="AN341" s="801" t="s">
        <v>1911</v>
      </c>
      <c r="AO341" s="977"/>
      <c r="AP341" s="978"/>
      <c r="AQ341" s="979"/>
      <c r="AR341" s="980"/>
      <c r="AS341" s="981"/>
      <c r="AU341" s="133"/>
      <c r="AV341" s="133"/>
      <c r="AW341" s="133"/>
      <c r="AX341" s="510"/>
      <c r="AY341" s="104"/>
      <c r="AZ341" s="133"/>
      <c r="BA341" s="133"/>
      <c r="BB341" s="133"/>
      <c r="BC341" s="517"/>
      <c r="BD341" s="133"/>
      <c r="BE341" s="4"/>
      <c r="BF341" s="445"/>
      <c r="BG341" s="4"/>
      <c r="BH341" s="4"/>
      <c r="BI341" s="4"/>
      <c r="BJ341" s="4"/>
      <c r="BK341" s="4"/>
      <c r="BL341" s="4"/>
      <c r="BM341" s="4"/>
      <c r="BN341" s="4"/>
    </row>
    <row r="342" spans="1:72" s="474" customFormat="1" ht="19.5" customHeight="1">
      <c r="A342" s="868" t="s">
        <v>1912</v>
      </c>
      <c r="B342" s="869">
        <v>3559</v>
      </c>
      <c r="C342" s="967" t="s">
        <v>1913</v>
      </c>
      <c r="D342" s="837"/>
      <c r="E342" s="414" t="s">
        <v>682</v>
      </c>
      <c r="F342" s="415"/>
      <c r="G342" s="983"/>
      <c r="H342" s="983"/>
      <c r="I342" s="873"/>
      <c r="J342" s="421">
        <v>155</v>
      </c>
      <c r="K342" s="874">
        <f>J342*F342</f>
        <v>0</v>
      </c>
      <c r="L342" s="413">
        <f t="shared" ref="L342:L357" si="266">J342+J342*5%</f>
        <v>162.75</v>
      </c>
      <c r="M342" s="874">
        <f>L342*F342</f>
        <v>0</v>
      </c>
      <c r="N342" s="413">
        <f t="shared" ref="N342:N357" si="267">J342+J342*10%</f>
        <v>170.5</v>
      </c>
      <c r="O342" s="874">
        <f>N342*F342</f>
        <v>0</v>
      </c>
      <c r="P342" s="413">
        <f t="shared" ref="P342:P357" si="268">J342+J342*15%</f>
        <v>178.25</v>
      </c>
      <c r="Q342" s="874">
        <f>P342*F342</f>
        <v>0</v>
      </c>
      <c r="R342" s="413">
        <f t="shared" ref="R342:R357" si="269">J342+J342*25%</f>
        <v>193.75</v>
      </c>
      <c r="S342" s="874">
        <f>R342*F342</f>
        <v>0</v>
      </c>
      <c r="T342" s="875">
        <v>95</v>
      </c>
      <c r="U342" s="876">
        <f t="shared" ref="U342:U357" si="270">T342*F342</f>
        <v>0</v>
      </c>
      <c r="V342" s="877"/>
      <c r="W342" s="301">
        <v>290</v>
      </c>
      <c r="X342" s="285"/>
      <c r="Y342" s="795">
        <v>12</v>
      </c>
      <c r="Z342" s="221"/>
      <c r="AA342" s="969" t="s">
        <v>123</v>
      </c>
      <c r="AB342" s="970">
        <v>44193</v>
      </c>
      <c r="AC342" s="970">
        <v>46018</v>
      </c>
      <c r="AD342" s="971" t="s">
        <v>124</v>
      </c>
      <c r="AE342" s="972" t="s">
        <v>1805</v>
      </c>
      <c r="AF342" s="973"/>
      <c r="AG342" s="973"/>
      <c r="AH342" s="974"/>
      <c r="AI342" s="975"/>
      <c r="AJ342" s="128"/>
      <c r="AK342" s="976">
        <v>3401110001</v>
      </c>
      <c r="AL342" s="551"/>
      <c r="AM342" s="800" t="s">
        <v>1914</v>
      </c>
      <c r="AN342" s="801" t="s">
        <v>1915</v>
      </c>
      <c r="AO342" s="801" t="s">
        <v>1244</v>
      </c>
      <c r="AP342" s="978"/>
      <c r="AQ342" s="984"/>
      <c r="AR342" s="980"/>
      <c r="AS342" s="981"/>
      <c r="AT342" s="285"/>
      <c r="AU342" s="133"/>
      <c r="AV342" s="133"/>
      <c r="AW342" s="133"/>
      <c r="AX342" s="510"/>
      <c r="AY342" s="104"/>
      <c r="AZ342" s="133"/>
      <c r="BA342" s="133"/>
      <c r="BB342" s="133"/>
      <c r="BC342" s="517"/>
      <c r="BD342" s="133"/>
      <c r="BE342" s="4"/>
      <c r="BF342" s="445"/>
      <c r="BG342" s="4"/>
      <c r="BH342" s="4"/>
      <c r="BI342" s="4"/>
      <c r="BJ342" s="4"/>
      <c r="BK342" s="4"/>
      <c r="BL342" s="4"/>
      <c r="BM342" s="4"/>
      <c r="BN342" s="4"/>
      <c r="BO342" s="285"/>
      <c r="BP342" s="285"/>
      <c r="BQ342" s="285"/>
      <c r="BR342" s="285"/>
      <c r="BS342" s="285"/>
      <c r="BT342" s="285"/>
    </row>
    <row r="343" spans="1:72" s="474" customFormat="1" ht="18" customHeight="1">
      <c r="A343" s="868" t="s">
        <v>1916</v>
      </c>
      <c r="B343" s="869">
        <v>3560</v>
      </c>
      <c r="C343" s="967" t="s">
        <v>1917</v>
      </c>
      <c r="D343" s="837"/>
      <c r="E343" s="414" t="s">
        <v>682</v>
      </c>
      <c r="F343" s="415"/>
      <c r="G343" s="983"/>
      <c r="H343" s="983"/>
      <c r="I343" s="873"/>
      <c r="J343" s="421">
        <v>155</v>
      </c>
      <c r="K343" s="874">
        <f>J343*F343</f>
        <v>0</v>
      </c>
      <c r="L343" s="413">
        <f t="shared" si="266"/>
        <v>162.75</v>
      </c>
      <c r="M343" s="874">
        <f>L343*F343</f>
        <v>0</v>
      </c>
      <c r="N343" s="413">
        <f t="shared" si="267"/>
        <v>170.5</v>
      </c>
      <c r="O343" s="874">
        <f>N343*F343</f>
        <v>0</v>
      </c>
      <c r="P343" s="413">
        <f t="shared" si="268"/>
        <v>178.25</v>
      </c>
      <c r="Q343" s="874">
        <f>P343*F343</f>
        <v>0</v>
      </c>
      <c r="R343" s="413">
        <f t="shared" si="269"/>
        <v>193.75</v>
      </c>
      <c r="S343" s="874">
        <f>R343*F343</f>
        <v>0</v>
      </c>
      <c r="T343" s="875">
        <v>95</v>
      </c>
      <c r="U343" s="876">
        <f t="shared" si="270"/>
        <v>0</v>
      </c>
      <c r="V343" s="877"/>
      <c r="W343" s="301">
        <v>290</v>
      </c>
      <c r="X343" s="285"/>
      <c r="Y343" s="795">
        <v>12</v>
      </c>
      <c r="Z343" s="221"/>
      <c r="AA343" s="969" t="s">
        <v>123</v>
      </c>
      <c r="AB343" s="970">
        <v>44193</v>
      </c>
      <c r="AC343" s="970">
        <v>46018</v>
      </c>
      <c r="AD343" s="971" t="s">
        <v>124</v>
      </c>
      <c r="AE343" s="972" t="s">
        <v>67</v>
      </c>
      <c r="AF343" s="973"/>
      <c r="AG343" s="973"/>
      <c r="AH343" s="974"/>
      <c r="AI343" s="975"/>
      <c r="AJ343" s="128"/>
      <c r="AK343" s="976">
        <v>3401110001</v>
      </c>
      <c r="AL343" s="551"/>
      <c r="AM343" s="800" t="s">
        <v>1918</v>
      </c>
      <c r="AN343" s="801" t="s">
        <v>1919</v>
      </c>
      <c r="AO343" s="801" t="s">
        <v>1244</v>
      </c>
      <c r="AP343" s="978"/>
      <c r="AQ343" s="984"/>
      <c r="AR343" s="980"/>
      <c r="AS343" s="981"/>
      <c r="AT343" s="285"/>
      <c r="AU343" s="133"/>
      <c r="AV343" s="133"/>
      <c r="AW343" s="133"/>
      <c r="AX343" s="510"/>
      <c r="AY343" s="104"/>
      <c r="AZ343" s="133"/>
      <c r="BA343" s="133"/>
      <c r="BB343" s="133"/>
      <c r="BC343" s="517"/>
      <c r="BD343" s="133"/>
      <c r="BE343" s="4"/>
      <c r="BF343" s="445"/>
      <c r="BG343" s="4"/>
      <c r="BH343" s="4"/>
      <c r="BI343" s="4"/>
      <c r="BJ343" s="4"/>
      <c r="BK343" s="4"/>
      <c r="BL343" s="4"/>
      <c r="BM343" s="4"/>
      <c r="BN343" s="4"/>
      <c r="BO343" s="285"/>
      <c r="BP343" s="285"/>
      <c r="BQ343" s="285"/>
      <c r="BR343" s="285"/>
      <c r="BS343" s="285"/>
      <c r="BT343" s="285"/>
    </row>
    <row r="344" spans="1:72" s="474" customFormat="1" ht="15" customHeight="1">
      <c r="A344" s="868" t="s">
        <v>121</v>
      </c>
      <c r="B344" s="869">
        <v>2674</v>
      </c>
      <c r="C344" s="870" t="s">
        <v>122</v>
      </c>
      <c r="D344" s="833"/>
      <c r="E344" s="396" t="s">
        <v>1920</v>
      </c>
      <c r="F344" s="415"/>
      <c r="G344" s="983"/>
      <c r="H344" s="983"/>
      <c r="I344" s="873"/>
      <c r="J344" s="421">
        <v>180</v>
      </c>
      <c r="K344" s="874">
        <f>F344*J344</f>
        <v>0</v>
      </c>
      <c r="L344" s="413">
        <f t="shared" si="266"/>
        <v>189</v>
      </c>
      <c r="M344" s="874">
        <f>L344*F344</f>
        <v>0</v>
      </c>
      <c r="N344" s="413">
        <f t="shared" si="267"/>
        <v>198</v>
      </c>
      <c r="O344" s="874">
        <f>N344*F344</f>
        <v>0</v>
      </c>
      <c r="P344" s="413">
        <f t="shared" si="268"/>
        <v>207</v>
      </c>
      <c r="Q344" s="874">
        <f>P344*F344</f>
        <v>0</v>
      </c>
      <c r="R344" s="413">
        <f t="shared" si="269"/>
        <v>225</v>
      </c>
      <c r="S344" s="874">
        <f>R344*F344</f>
        <v>0</v>
      </c>
      <c r="T344" s="875">
        <v>95</v>
      </c>
      <c r="U344" s="876">
        <f t="shared" si="270"/>
        <v>0</v>
      </c>
      <c r="V344" s="877"/>
      <c r="W344" s="301">
        <v>340</v>
      </c>
      <c r="X344" s="285"/>
      <c r="Y344" s="795">
        <v>12</v>
      </c>
      <c r="Z344" s="221"/>
      <c r="AA344" s="969" t="s">
        <v>123</v>
      </c>
      <c r="AB344" s="970">
        <v>44193</v>
      </c>
      <c r="AC344" s="970">
        <v>46018</v>
      </c>
      <c r="AD344" s="971" t="s">
        <v>124</v>
      </c>
      <c r="AE344" s="972" t="s">
        <v>67</v>
      </c>
      <c r="AF344" s="973"/>
      <c r="AG344" s="973"/>
      <c r="AH344" s="798"/>
      <c r="AI344" s="985"/>
      <c r="AJ344" s="221"/>
      <c r="AK344" s="976">
        <v>3401110001</v>
      </c>
      <c r="AL344" s="551"/>
      <c r="AM344" s="800" t="s">
        <v>1921</v>
      </c>
      <c r="AN344" s="801" t="s">
        <v>1922</v>
      </c>
      <c r="AO344" s="801" t="s">
        <v>1923</v>
      </c>
      <c r="AP344" s="978"/>
      <c r="AQ344" s="979"/>
      <c r="AR344" s="980"/>
      <c r="AS344" s="981"/>
      <c r="AT344" s="285"/>
      <c r="AU344" s="189"/>
      <c r="AV344" s="189"/>
      <c r="AW344" s="189"/>
      <c r="AX344" s="521"/>
      <c r="AY344" s="507"/>
      <c r="AZ344" s="189"/>
      <c r="BA344" s="189"/>
      <c r="BB344" s="189"/>
      <c r="BC344" s="517"/>
      <c r="BD344" s="189"/>
      <c r="BE344" s="4"/>
      <c r="BF344" s="445"/>
      <c r="BG344" s="4"/>
      <c r="BH344" s="4"/>
      <c r="BI344" s="4"/>
      <c r="BJ344" s="4"/>
      <c r="BK344" s="4"/>
      <c r="BL344" s="4"/>
      <c r="BM344" s="4"/>
      <c r="BN344" s="4"/>
      <c r="BO344" s="285"/>
      <c r="BP344" s="285"/>
      <c r="BQ344" s="285"/>
      <c r="BR344" s="285"/>
      <c r="BS344" s="285"/>
      <c r="BT344" s="285"/>
    </row>
    <row r="345" spans="1:72" s="285" customFormat="1" ht="15.75" customHeight="1">
      <c r="A345" s="361">
        <v>4620748863260</v>
      </c>
      <c r="B345" s="871">
        <v>1532</v>
      </c>
      <c r="C345" s="870" t="s">
        <v>127</v>
      </c>
      <c r="D345" s="833"/>
      <c r="E345" s="396" t="s">
        <v>1920</v>
      </c>
      <c r="F345" s="1004"/>
      <c r="G345" s="880"/>
      <c r="H345" s="880"/>
      <c r="I345" s="315"/>
      <c r="J345" s="367">
        <v>175</v>
      </c>
      <c r="K345" s="418">
        <f t="shared" ref="K345:K357" si="271">J345*F345</f>
        <v>0</v>
      </c>
      <c r="L345" s="413">
        <f t="shared" si="266"/>
        <v>183.75</v>
      </c>
      <c r="M345" s="418">
        <f t="shared" ref="M345:M357" si="272">F345*L345</f>
        <v>0</v>
      </c>
      <c r="N345" s="413">
        <f t="shared" si="267"/>
        <v>192.5</v>
      </c>
      <c r="O345" s="418">
        <f t="shared" ref="O345:O357" si="273">F345*N345</f>
        <v>0</v>
      </c>
      <c r="P345" s="413">
        <f t="shared" si="268"/>
        <v>201.25</v>
      </c>
      <c r="Q345" s="418">
        <f t="shared" ref="Q345:Q357" si="274">F345*P345</f>
        <v>0</v>
      </c>
      <c r="R345" s="413">
        <f t="shared" si="269"/>
        <v>218.75</v>
      </c>
      <c r="S345" s="418">
        <f t="shared" ref="S345:S357" si="275">F345*R345</f>
        <v>0</v>
      </c>
      <c r="T345" s="812">
        <v>95</v>
      </c>
      <c r="U345" s="878">
        <f t="shared" si="270"/>
        <v>0</v>
      </c>
      <c r="V345" s="879"/>
      <c r="W345" s="301">
        <v>330</v>
      </c>
      <c r="Y345" s="795">
        <v>12</v>
      </c>
      <c r="Z345" s="221"/>
      <c r="AA345" s="969" t="s">
        <v>123</v>
      </c>
      <c r="AB345" s="970">
        <v>44193</v>
      </c>
      <c r="AC345" s="970">
        <v>46018</v>
      </c>
      <c r="AD345" s="971" t="s">
        <v>124</v>
      </c>
      <c r="AE345" s="972" t="s">
        <v>67</v>
      </c>
      <c r="AF345" s="973"/>
      <c r="AG345" s="973"/>
      <c r="AH345" s="798"/>
      <c r="AI345" s="985"/>
      <c r="AJ345" s="221"/>
      <c r="AK345" s="976">
        <v>3401110001</v>
      </c>
      <c r="AL345" s="551"/>
      <c r="AM345" s="692" t="s">
        <v>1924</v>
      </c>
      <c r="AN345" s="693" t="s">
        <v>1925</v>
      </c>
      <c r="AO345" s="801" t="s">
        <v>1926</v>
      </c>
      <c r="AP345" s="978"/>
      <c r="AQ345" s="984"/>
      <c r="AR345" s="980"/>
      <c r="AS345" s="981"/>
      <c r="AU345" s="189"/>
      <c r="AV345" s="189"/>
      <c r="AW345" s="189"/>
      <c r="AX345" s="521"/>
      <c r="AY345" s="507"/>
      <c r="AZ345" s="189"/>
      <c r="BA345" s="189"/>
      <c r="BB345" s="189"/>
      <c r="BC345" s="517"/>
      <c r="BD345" s="189"/>
      <c r="BE345" s="4"/>
      <c r="BF345" s="445"/>
      <c r="BG345" s="4"/>
      <c r="BH345" s="4"/>
      <c r="BI345" s="4"/>
      <c r="BJ345" s="4"/>
      <c r="BK345" s="4"/>
      <c r="BL345" s="4"/>
      <c r="BM345" s="4"/>
      <c r="BN345" s="4"/>
    </row>
    <row r="346" spans="1:72" s="285" customFormat="1" ht="15.75" customHeight="1">
      <c r="A346" s="361">
        <v>4620748863284</v>
      </c>
      <c r="B346" s="871">
        <v>1531</v>
      </c>
      <c r="C346" s="870" t="s">
        <v>128</v>
      </c>
      <c r="D346" s="833"/>
      <c r="E346" s="396" t="s">
        <v>1920</v>
      </c>
      <c r="F346" s="1004"/>
      <c r="G346" s="880"/>
      <c r="H346" s="880"/>
      <c r="I346" s="315"/>
      <c r="J346" s="367">
        <v>175</v>
      </c>
      <c r="K346" s="418">
        <f t="shared" si="271"/>
        <v>0</v>
      </c>
      <c r="L346" s="413">
        <f t="shared" si="266"/>
        <v>183.75</v>
      </c>
      <c r="M346" s="418">
        <f t="shared" si="272"/>
        <v>0</v>
      </c>
      <c r="N346" s="413">
        <f t="shared" si="267"/>
        <v>192.5</v>
      </c>
      <c r="O346" s="418">
        <f t="shared" si="273"/>
        <v>0</v>
      </c>
      <c r="P346" s="413">
        <f t="shared" si="268"/>
        <v>201.25</v>
      </c>
      <c r="Q346" s="418">
        <f t="shared" si="274"/>
        <v>0</v>
      </c>
      <c r="R346" s="413">
        <f t="shared" si="269"/>
        <v>218.75</v>
      </c>
      <c r="S346" s="418">
        <f t="shared" si="275"/>
        <v>0</v>
      </c>
      <c r="T346" s="812">
        <v>95</v>
      </c>
      <c r="U346" s="878">
        <f t="shared" si="270"/>
        <v>0</v>
      </c>
      <c r="V346" s="879"/>
      <c r="W346" s="301">
        <v>330</v>
      </c>
      <c r="Y346" s="795">
        <v>12</v>
      </c>
      <c r="Z346" s="221"/>
      <c r="AA346" s="969" t="s">
        <v>123</v>
      </c>
      <c r="AB346" s="970">
        <v>44193</v>
      </c>
      <c r="AC346" s="970">
        <v>46018</v>
      </c>
      <c r="AD346" s="971" t="s">
        <v>124</v>
      </c>
      <c r="AE346" s="972" t="s">
        <v>67</v>
      </c>
      <c r="AF346" s="973"/>
      <c r="AG346" s="973"/>
      <c r="AH346" s="798"/>
      <c r="AI346" s="985"/>
      <c r="AJ346" s="221"/>
      <c r="AK346" s="976">
        <v>3401110001</v>
      </c>
      <c r="AL346" s="551"/>
      <c r="AM346" s="692" t="s">
        <v>1927</v>
      </c>
      <c r="AN346" s="693" t="s">
        <v>1928</v>
      </c>
      <c r="AO346" s="801" t="s">
        <v>1926</v>
      </c>
      <c r="AP346" s="978"/>
      <c r="AQ346" s="984"/>
      <c r="AR346" s="980"/>
      <c r="AS346" s="981"/>
      <c r="AU346" s="189"/>
      <c r="AV346" s="189"/>
      <c r="AW346" s="189"/>
      <c r="AX346" s="521"/>
      <c r="AY346" s="507"/>
      <c r="AZ346" s="189"/>
      <c r="BA346" s="189"/>
      <c r="BB346" s="189"/>
      <c r="BC346" s="517"/>
      <c r="BD346" s="189"/>
      <c r="BE346" s="4"/>
      <c r="BF346" s="445"/>
      <c r="BG346" s="4"/>
      <c r="BH346" s="4"/>
      <c r="BI346" s="4"/>
      <c r="BJ346" s="4"/>
      <c r="BK346" s="4"/>
      <c r="BL346" s="4"/>
      <c r="BM346" s="4"/>
      <c r="BN346" s="4"/>
    </row>
    <row r="347" spans="1:72" s="285" customFormat="1" ht="15.75" customHeight="1">
      <c r="A347" s="361">
        <v>4620748863277</v>
      </c>
      <c r="B347" s="871">
        <v>1530</v>
      </c>
      <c r="C347" s="870" t="s">
        <v>129</v>
      </c>
      <c r="D347" s="833"/>
      <c r="E347" s="396" t="s">
        <v>1920</v>
      </c>
      <c r="F347" s="1004"/>
      <c r="G347" s="880"/>
      <c r="H347" s="880"/>
      <c r="I347" s="315"/>
      <c r="J347" s="367">
        <v>175</v>
      </c>
      <c r="K347" s="418">
        <f t="shared" si="271"/>
        <v>0</v>
      </c>
      <c r="L347" s="413">
        <f t="shared" si="266"/>
        <v>183.75</v>
      </c>
      <c r="M347" s="418">
        <f t="shared" si="272"/>
        <v>0</v>
      </c>
      <c r="N347" s="413">
        <f t="shared" si="267"/>
        <v>192.5</v>
      </c>
      <c r="O347" s="418">
        <f t="shared" si="273"/>
        <v>0</v>
      </c>
      <c r="P347" s="413">
        <f t="shared" si="268"/>
        <v>201.25</v>
      </c>
      <c r="Q347" s="418">
        <f t="shared" si="274"/>
        <v>0</v>
      </c>
      <c r="R347" s="413">
        <f t="shared" si="269"/>
        <v>218.75</v>
      </c>
      <c r="S347" s="418">
        <f t="shared" si="275"/>
        <v>0</v>
      </c>
      <c r="T347" s="812">
        <v>95</v>
      </c>
      <c r="U347" s="878">
        <f t="shared" si="270"/>
        <v>0</v>
      </c>
      <c r="V347" s="879"/>
      <c r="W347" s="301">
        <v>330</v>
      </c>
      <c r="Y347" s="795">
        <v>12</v>
      </c>
      <c r="Z347" s="221"/>
      <c r="AA347" s="969" t="s">
        <v>123</v>
      </c>
      <c r="AB347" s="970">
        <v>44193</v>
      </c>
      <c r="AC347" s="970">
        <v>46018</v>
      </c>
      <c r="AD347" s="971" t="s">
        <v>124</v>
      </c>
      <c r="AE347" s="972" t="s">
        <v>67</v>
      </c>
      <c r="AF347" s="973"/>
      <c r="AG347" s="973"/>
      <c r="AH347" s="798"/>
      <c r="AI347" s="985"/>
      <c r="AJ347" s="221"/>
      <c r="AK347" s="976">
        <v>3401110001</v>
      </c>
      <c r="AL347" s="551"/>
      <c r="AM347" s="692" t="s">
        <v>1929</v>
      </c>
      <c r="AN347" s="693" t="s">
        <v>1930</v>
      </c>
      <c r="AO347" s="801" t="s">
        <v>1926</v>
      </c>
      <c r="AP347" s="978"/>
      <c r="AQ347" s="984"/>
      <c r="AR347" s="980"/>
      <c r="AS347" s="981"/>
      <c r="AU347" s="189"/>
      <c r="AV347" s="189"/>
      <c r="AW347" s="189"/>
      <c r="AX347" s="521"/>
      <c r="AY347" s="507"/>
      <c r="AZ347" s="189"/>
      <c r="BA347" s="189"/>
      <c r="BB347" s="189"/>
      <c r="BC347" s="517"/>
      <c r="BD347" s="189"/>
      <c r="BE347" s="4"/>
      <c r="BF347" s="445"/>
      <c r="BG347" s="4"/>
      <c r="BH347" s="4"/>
      <c r="BI347" s="4"/>
      <c r="BJ347" s="4"/>
      <c r="BK347" s="4"/>
      <c r="BL347" s="4"/>
      <c r="BM347" s="4"/>
      <c r="BN347" s="4"/>
    </row>
    <row r="348" spans="1:72" s="285" customFormat="1" ht="15.75" customHeight="1">
      <c r="A348" s="361">
        <v>4627101820571</v>
      </c>
      <c r="B348" s="871">
        <v>1538</v>
      </c>
      <c r="C348" s="870" t="s">
        <v>131</v>
      </c>
      <c r="D348" s="833"/>
      <c r="E348" s="396" t="s">
        <v>1931</v>
      </c>
      <c r="F348" s="1004"/>
      <c r="G348" s="880"/>
      <c r="H348" s="880"/>
      <c r="I348" s="315"/>
      <c r="J348" s="367">
        <v>220</v>
      </c>
      <c r="K348" s="418">
        <f t="shared" si="271"/>
        <v>0</v>
      </c>
      <c r="L348" s="413">
        <f t="shared" si="266"/>
        <v>231</v>
      </c>
      <c r="M348" s="418">
        <f t="shared" si="272"/>
        <v>0</v>
      </c>
      <c r="N348" s="413">
        <f t="shared" si="267"/>
        <v>242</v>
      </c>
      <c r="O348" s="418">
        <f t="shared" si="273"/>
        <v>0</v>
      </c>
      <c r="P348" s="413">
        <f t="shared" si="268"/>
        <v>253</v>
      </c>
      <c r="Q348" s="418">
        <f t="shared" si="274"/>
        <v>0</v>
      </c>
      <c r="R348" s="413">
        <f t="shared" si="269"/>
        <v>275</v>
      </c>
      <c r="S348" s="418">
        <f t="shared" si="275"/>
        <v>0</v>
      </c>
      <c r="T348" s="812">
        <v>155</v>
      </c>
      <c r="U348" s="878">
        <f t="shared" si="270"/>
        <v>0</v>
      </c>
      <c r="V348" s="879"/>
      <c r="W348" s="301">
        <v>415</v>
      </c>
      <c r="Y348" s="795">
        <v>12</v>
      </c>
      <c r="Z348" s="221"/>
      <c r="AA348" s="969" t="s">
        <v>123</v>
      </c>
      <c r="AB348" s="970">
        <v>44193</v>
      </c>
      <c r="AC348" s="970">
        <v>46018</v>
      </c>
      <c r="AD348" s="971" t="s">
        <v>124</v>
      </c>
      <c r="AE348" s="972" t="s">
        <v>67</v>
      </c>
      <c r="AF348" s="973"/>
      <c r="AG348" s="973"/>
      <c r="AH348" s="798"/>
      <c r="AI348" s="985"/>
      <c r="AJ348" s="221"/>
      <c r="AK348" s="976">
        <v>3401110001</v>
      </c>
      <c r="AL348" s="551"/>
      <c r="AM348" s="692" t="s">
        <v>1932</v>
      </c>
      <c r="AN348" s="693" t="s">
        <v>1933</v>
      </c>
      <c r="AO348" s="986"/>
      <c r="AP348" s="978"/>
      <c r="AQ348" s="984"/>
      <c r="AR348" s="980"/>
      <c r="AS348" s="981"/>
      <c r="AU348" s="189"/>
      <c r="AV348" s="189"/>
      <c r="AW348" s="189"/>
      <c r="AX348" s="521"/>
      <c r="AY348" s="507"/>
      <c r="AZ348" s="189"/>
      <c r="BA348" s="189"/>
      <c r="BB348" s="189"/>
      <c r="BC348" s="517"/>
      <c r="BD348" s="189"/>
      <c r="BE348" s="4"/>
      <c r="BF348" s="445"/>
      <c r="BG348" s="4"/>
      <c r="BH348" s="4"/>
      <c r="BI348" s="4"/>
      <c r="BJ348" s="4"/>
      <c r="BK348" s="4"/>
      <c r="BL348" s="4"/>
      <c r="BM348" s="4"/>
      <c r="BN348" s="4"/>
    </row>
    <row r="349" spans="1:72" s="285" customFormat="1" ht="15.75" customHeight="1">
      <c r="A349" s="468">
        <v>4627101820588</v>
      </c>
      <c r="B349" s="871">
        <v>1540</v>
      </c>
      <c r="C349" s="870" t="s">
        <v>133</v>
      </c>
      <c r="D349" s="833"/>
      <c r="E349" s="396" t="s">
        <v>1931</v>
      </c>
      <c r="F349" s="1004"/>
      <c r="G349" s="880"/>
      <c r="H349" s="880"/>
      <c r="I349" s="315"/>
      <c r="J349" s="367">
        <v>220</v>
      </c>
      <c r="K349" s="418">
        <f t="shared" si="271"/>
        <v>0</v>
      </c>
      <c r="L349" s="413">
        <f t="shared" si="266"/>
        <v>231</v>
      </c>
      <c r="M349" s="418">
        <f t="shared" si="272"/>
        <v>0</v>
      </c>
      <c r="N349" s="413">
        <f t="shared" si="267"/>
        <v>242</v>
      </c>
      <c r="O349" s="418">
        <f t="shared" si="273"/>
        <v>0</v>
      </c>
      <c r="P349" s="413">
        <f t="shared" si="268"/>
        <v>253</v>
      </c>
      <c r="Q349" s="418">
        <f t="shared" si="274"/>
        <v>0</v>
      </c>
      <c r="R349" s="413">
        <f t="shared" si="269"/>
        <v>275</v>
      </c>
      <c r="S349" s="418">
        <f t="shared" si="275"/>
        <v>0</v>
      </c>
      <c r="T349" s="812">
        <v>155</v>
      </c>
      <c r="U349" s="878">
        <f t="shared" si="270"/>
        <v>0</v>
      </c>
      <c r="V349" s="879"/>
      <c r="W349" s="301">
        <v>415</v>
      </c>
      <c r="Y349" s="795">
        <v>12</v>
      </c>
      <c r="Z349" s="221"/>
      <c r="AA349" s="969" t="s">
        <v>123</v>
      </c>
      <c r="AB349" s="970">
        <v>44193</v>
      </c>
      <c r="AC349" s="970">
        <v>46018</v>
      </c>
      <c r="AD349" s="971" t="s">
        <v>124</v>
      </c>
      <c r="AE349" s="972" t="s">
        <v>67</v>
      </c>
      <c r="AF349" s="973"/>
      <c r="AG349" s="973"/>
      <c r="AH349" s="798"/>
      <c r="AI349" s="985"/>
      <c r="AJ349" s="221"/>
      <c r="AK349" s="976">
        <v>3401110001</v>
      </c>
      <c r="AL349" s="551"/>
      <c r="AM349" s="692"/>
      <c r="AN349" s="693"/>
      <c r="AO349" s="986"/>
      <c r="AP349" s="978"/>
      <c r="AQ349" s="987"/>
      <c r="AR349" s="980"/>
      <c r="AS349" s="981"/>
      <c r="AU349" s="189"/>
      <c r="AV349" s="189"/>
      <c r="AW349" s="189"/>
      <c r="AX349" s="521"/>
      <c r="AY349" s="507"/>
      <c r="AZ349" s="189"/>
      <c r="BA349" s="189"/>
      <c r="BB349" s="189"/>
      <c r="BC349" s="517"/>
      <c r="BD349" s="189"/>
      <c r="BE349" s="4"/>
      <c r="BF349" s="445"/>
      <c r="BG349" s="4"/>
      <c r="BH349" s="4"/>
      <c r="BI349" s="4"/>
      <c r="BJ349" s="4"/>
      <c r="BK349" s="4"/>
      <c r="BL349" s="4"/>
      <c r="BM349" s="4"/>
      <c r="BN349" s="4"/>
    </row>
    <row r="350" spans="1:72" ht="15.75" customHeight="1">
      <c r="A350" s="354">
        <v>4627101820618</v>
      </c>
      <c r="B350" s="108">
        <v>1542</v>
      </c>
      <c r="C350" s="369" t="s">
        <v>134</v>
      </c>
      <c r="D350" s="833"/>
      <c r="E350" s="396" t="s">
        <v>1931</v>
      </c>
      <c r="F350" s="249"/>
      <c r="G350" s="239"/>
      <c r="H350" s="239"/>
      <c r="I350" s="238"/>
      <c r="J350" s="408">
        <v>220</v>
      </c>
      <c r="K350" s="104">
        <f t="shared" si="271"/>
        <v>0</v>
      </c>
      <c r="L350" s="413">
        <f t="shared" si="266"/>
        <v>231</v>
      </c>
      <c r="M350" s="104">
        <f t="shared" si="272"/>
        <v>0</v>
      </c>
      <c r="N350" s="413">
        <f t="shared" si="267"/>
        <v>242</v>
      </c>
      <c r="O350" s="104">
        <f t="shared" si="273"/>
        <v>0</v>
      </c>
      <c r="P350" s="413">
        <f t="shared" si="268"/>
        <v>253</v>
      </c>
      <c r="Q350" s="104">
        <f t="shared" si="274"/>
        <v>0</v>
      </c>
      <c r="R350" s="413">
        <f t="shared" si="269"/>
        <v>275</v>
      </c>
      <c r="S350" s="104">
        <f t="shared" si="275"/>
        <v>0</v>
      </c>
      <c r="T350" s="112">
        <v>155</v>
      </c>
      <c r="U350" s="105">
        <f t="shared" si="270"/>
        <v>0</v>
      </c>
      <c r="V350" s="106"/>
      <c r="W350" s="301">
        <v>415</v>
      </c>
      <c r="Y350" s="567">
        <v>12</v>
      </c>
      <c r="Z350" s="189"/>
      <c r="AA350" s="541" t="s">
        <v>123</v>
      </c>
      <c r="AB350" s="537">
        <v>44193</v>
      </c>
      <c r="AC350" s="537">
        <v>46018</v>
      </c>
      <c r="AD350" s="769" t="s">
        <v>124</v>
      </c>
      <c r="AE350" s="718" t="s">
        <v>1805</v>
      </c>
      <c r="AF350" s="700"/>
      <c r="AG350" s="700"/>
      <c r="AH350" s="547"/>
      <c r="AI350" s="478"/>
      <c r="AJ350" s="189"/>
      <c r="AK350" s="568">
        <v>3401110001</v>
      </c>
      <c r="AM350" s="653" t="s">
        <v>1934</v>
      </c>
      <c r="AN350" s="654" t="s">
        <v>1935</v>
      </c>
      <c r="AO350" s="665"/>
      <c r="AP350" s="655"/>
      <c r="AQ350" s="637"/>
      <c r="AR350" s="656"/>
      <c r="AS350" s="657"/>
      <c r="AU350" s="189"/>
      <c r="AV350" s="189"/>
      <c r="AW350" s="189"/>
      <c r="AX350" s="521"/>
      <c r="AY350" s="507"/>
      <c r="AZ350" s="189"/>
      <c r="BA350" s="189"/>
      <c r="BB350" s="189"/>
      <c r="BC350" s="517"/>
      <c r="BD350" s="189"/>
      <c r="BF350" s="445"/>
    </row>
    <row r="351" spans="1:72" ht="15.75" customHeight="1">
      <c r="A351" s="354">
        <v>4627101820595</v>
      </c>
      <c r="B351" s="108">
        <v>1544</v>
      </c>
      <c r="C351" s="369" t="s">
        <v>135</v>
      </c>
      <c r="D351" s="833"/>
      <c r="E351" s="396" t="s">
        <v>1931</v>
      </c>
      <c r="F351" s="249"/>
      <c r="G351" s="239"/>
      <c r="H351" s="239"/>
      <c r="I351" s="238"/>
      <c r="J351" s="408">
        <v>220</v>
      </c>
      <c r="K351" s="104">
        <f t="shared" si="271"/>
        <v>0</v>
      </c>
      <c r="L351" s="413">
        <f t="shared" si="266"/>
        <v>231</v>
      </c>
      <c r="M351" s="104">
        <f t="shared" si="272"/>
        <v>0</v>
      </c>
      <c r="N351" s="413">
        <f t="shared" si="267"/>
        <v>242</v>
      </c>
      <c r="O351" s="104">
        <f t="shared" si="273"/>
        <v>0</v>
      </c>
      <c r="P351" s="413">
        <f t="shared" si="268"/>
        <v>253</v>
      </c>
      <c r="Q351" s="104">
        <f t="shared" si="274"/>
        <v>0</v>
      </c>
      <c r="R351" s="413">
        <f t="shared" si="269"/>
        <v>275</v>
      </c>
      <c r="S351" s="104">
        <f t="shared" si="275"/>
        <v>0</v>
      </c>
      <c r="T351" s="112">
        <v>155</v>
      </c>
      <c r="U351" s="105">
        <f t="shared" si="270"/>
        <v>0</v>
      </c>
      <c r="V351" s="106"/>
      <c r="W351" s="301">
        <v>415</v>
      </c>
      <c r="Y351" s="567">
        <v>12</v>
      </c>
      <c r="Z351" s="189"/>
      <c r="AA351" s="541" t="s">
        <v>123</v>
      </c>
      <c r="AB351" s="537">
        <v>44193</v>
      </c>
      <c r="AC351" s="537">
        <v>46018</v>
      </c>
      <c r="AD351" s="769" t="s">
        <v>124</v>
      </c>
      <c r="AE351" s="718" t="s">
        <v>67</v>
      </c>
      <c r="AF351" s="700"/>
      <c r="AG351" s="700"/>
      <c r="AH351" s="547"/>
      <c r="AI351" s="478"/>
      <c r="AJ351" s="189"/>
      <c r="AK351" s="568">
        <v>3401110001</v>
      </c>
      <c r="AM351" s="653" t="s">
        <v>1936</v>
      </c>
      <c r="AN351" s="654" t="s">
        <v>1937</v>
      </c>
      <c r="AO351" s="665"/>
      <c r="AP351" s="655"/>
      <c r="AQ351" s="637"/>
      <c r="AR351" s="656"/>
      <c r="AS351" s="657"/>
      <c r="AU351" s="189"/>
      <c r="AV351" s="189"/>
      <c r="AW351" s="189"/>
      <c r="AX351" s="521"/>
      <c r="AY351" s="507"/>
      <c r="AZ351" s="189"/>
      <c r="BA351" s="189"/>
      <c r="BB351" s="189"/>
      <c r="BC351" s="517"/>
      <c r="BD351" s="189"/>
      <c r="BF351" s="445"/>
    </row>
    <row r="352" spans="1:72" ht="15" customHeight="1">
      <c r="A352" s="354">
        <v>4627101820601</v>
      </c>
      <c r="B352" s="108">
        <v>1546</v>
      </c>
      <c r="C352" s="369" t="s">
        <v>136</v>
      </c>
      <c r="D352" s="833"/>
      <c r="E352" s="396" t="s">
        <v>1931</v>
      </c>
      <c r="F352" s="249"/>
      <c r="G352" s="239"/>
      <c r="H352" s="239"/>
      <c r="I352" s="238"/>
      <c r="J352" s="408">
        <v>220</v>
      </c>
      <c r="K352" s="104">
        <f t="shared" si="271"/>
        <v>0</v>
      </c>
      <c r="L352" s="413">
        <f t="shared" si="266"/>
        <v>231</v>
      </c>
      <c r="M352" s="104">
        <f t="shared" si="272"/>
        <v>0</v>
      </c>
      <c r="N352" s="413">
        <f t="shared" si="267"/>
        <v>242</v>
      </c>
      <c r="O352" s="104">
        <f t="shared" si="273"/>
        <v>0</v>
      </c>
      <c r="P352" s="413">
        <f t="shared" si="268"/>
        <v>253</v>
      </c>
      <c r="Q352" s="104">
        <f t="shared" si="274"/>
        <v>0</v>
      </c>
      <c r="R352" s="413">
        <f t="shared" si="269"/>
        <v>275</v>
      </c>
      <c r="S352" s="104">
        <f t="shared" si="275"/>
        <v>0</v>
      </c>
      <c r="T352" s="112">
        <v>155</v>
      </c>
      <c r="U352" s="105">
        <f t="shared" si="270"/>
        <v>0</v>
      </c>
      <c r="V352" s="106"/>
      <c r="W352" s="301">
        <v>415</v>
      </c>
      <c r="Y352" s="567">
        <v>12</v>
      </c>
      <c r="Z352" s="189"/>
      <c r="AA352" s="541" t="s">
        <v>123</v>
      </c>
      <c r="AB352" s="537">
        <v>44193</v>
      </c>
      <c r="AC352" s="537">
        <v>46018</v>
      </c>
      <c r="AD352" s="769" t="s">
        <v>124</v>
      </c>
      <c r="AE352" s="718" t="s">
        <v>67</v>
      </c>
      <c r="AF352" s="700"/>
      <c r="AG352" s="700"/>
      <c r="AH352" s="547"/>
      <c r="AI352" s="478"/>
      <c r="AJ352" s="189"/>
      <c r="AK352" s="568">
        <v>3401110001</v>
      </c>
      <c r="AM352" s="653" t="s">
        <v>1938</v>
      </c>
      <c r="AN352" s="654" t="s">
        <v>1939</v>
      </c>
      <c r="AO352" s="665"/>
      <c r="AP352" s="655"/>
      <c r="AQ352" s="637"/>
      <c r="AR352" s="656"/>
      <c r="AS352" s="657"/>
      <c r="AU352" s="189"/>
      <c r="AV352" s="189"/>
      <c r="AW352" s="189"/>
      <c r="AX352" s="521"/>
      <c r="AY352" s="507"/>
      <c r="AZ352" s="189"/>
      <c r="BA352" s="189"/>
      <c r="BB352" s="189"/>
      <c r="BC352" s="517"/>
      <c r="BD352" s="189"/>
      <c r="BF352" s="445"/>
    </row>
    <row r="353" spans="1:58" ht="15.75" customHeight="1">
      <c r="A353" s="116">
        <v>4627101820649</v>
      </c>
      <c r="B353" s="108">
        <v>1536</v>
      </c>
      <c r="C353" s="369" t="s">
        <v>1940</v>
      </c>
      <c r="D353" s="833"/>
      <c r="E353" s="396" t="s">
        <v>1931</v>
      </c>
      <c r="F353" s="249"/>
      <c r="G353" s="239"/>
      <c r="H353" s="239"/>
      <c r="I353" s="238"/>
      <c r="J353" s="408">
        <v>320</v>
      </c>
      <c r="K353" s="104">
        <f t="shared" si="271"/>
        <v>0</v>
      </c>
      <c r="L353" s="413">
        <f t="shared" si="266"/>
        <v>336</v>
      </c>
      <c r="M353" s="104">
        <f t="shared" si="272"/>
        <v>0</v>
      </c>
      <c r="N353" s="413">
        <f t="shared" si="267"/>
        <v>352</v>
      </c>
      <c r="O353" s="104">
        <f t="shared" si="273"/>
        <v>0</v>
      </c>
      <c r="P353" s="413">
        <f t="shared" si="268"/>
        <v>368</v>
      </c>
      <c r="Q353" s="104">
        <f t="shared" si="274"/>
        <v>0</v>
      </c>
      <c r="R353" s="413">
        <f t="shared" si="269"/>
        <v>400</v>
      </c>
      <c r="S353" s="104">
        <f t="shared" si="275"/>
        <v>0</v>
      </c>
      <c r="T353" s="112">
        <v>160</v>
      </c>
      <c r="U353" s="105">
        <f t="shared" si="270"/>
        <v>0</v>
      </c>
      <c r="V353" s="106"/>
      <c r="W353" s="301">
        <v>605</v>
      </c>
      <c r="Y353" s="567">
        <v>12</v>
      </c>
      <c r="Z353" s="189"/>
      <c r="AA353" s="541" t="s">
        <v>123</v>
      </c>
      <c r="AB353" s="537">
        <v>44193</v>
      </c>
      <c r="AC353" s="537">
        <v>46018</v>
      </c>
      <c r="AD353" s="769" t="s">
        <v>124</v>
      </c>
      <c r="AE353" s="718" t="s">
        <v>67</v>
      </c>
      <c r="AF353" s="700"/>
      <c r="AG353" s="700"/>
      <c r="AH353" s="547"/>
      <c r="AI353" s="478"/>
      <c r="AJ353" s="189"/>
      <c r="AK353" s="568">
        <v>3401110001</v>
      </c>
      <c r="AM353" s="666" t="s">
        <v>1941</v>
      </c>
      <c r="AN353" s="665" t="s">
        <v>1942</v>
      </c>
      <c r="AO353" s="665" t="s">
        <v>1943</v>
      </c>
      <c r="AP353" s="655" t="s">
        <v>1944</v>
      </c>
      <c r="AQ353" s="609"/>
      <c r="AR353" s="656"/>
      <c r="AS353" s="657"/>
      <c r="AU353" s="189"/>
      <c r="AV353" s="189"/>
      <c r="AW353" s="189"/>
      <c r="AX353" s="521"/>
      <c r="AY353" s="507"/>
      <c r="AZ353" s="189"/>
      <c r="BA353" s="189"/>
      <c r="BB353" s="189"/>
      <c r="BC353" s="517"/>
      <c r="BD353" s="189"/>
      <c r="BF353" s="445"/>
    </row>
    <row r="354" spans="1:58" ht="15.75" customHeight="1">
      <c r="A354" s="116">
        <v>4627101822728</v>
      </c>
      <c r="B354" s="108">
        <v>1547</v>
      </c>
      <c r="C354" s="369" t="s">
        <v>1945</v>
      </c>
      <c r="D354" s="833"/>
      <c r="E354" s="396" t="s">
        <v>1946</v>
      </c>
      <c r="F354" s="249"/>
      <c r="G354" s="239"/>
      <c r="H354" s="239"/>
      <c r="I354" s="238"/>
      <c r="J354" s="408">
        <v>330</v>
      </c>
      <c r="K354" s="104">
        <f t="shared" si="271"/>
        <v>0</v>
      </c>
      <c r="L354" s="413">
        <f t="shared" si="266"/>
        <v>346.5</v>
      </c>
      <c r="M354" s="104">
        <f t="shared" si="272"/>
        <v>0</v>
      </c>
      <c r="N354" s="413">
        <f t="shared" si="267"/>
        <v>363</v>
      </c>
      <c r="O354" s="104">
        <f t="shared" si="273"/>
        <v>0</v>
      </c>
      <c r="P354" s="413">
        <f t="shared" si="268"/>
        <v>379.5</v>
      </c>
      <c r="Q354" s="104">
        <f t="shared" si="274"/>
        <v>0</v>
      </c>
      <c r="R354" s="413">
        <f t="shared" si="269"/>
        <v>412.5</v>
      </c>
      <c r="S354" s="104">
        <f t="shared" si="275"/>
        <v>0</v>
      </c>
      <c r="T354" s="112">
        <v>159</v>
      </c>
      <c r="U354" s="105">
        <f t="shared" si="270"/>
        <v>0</v>
      </c>
      <c r="V354" s="106"/>
      <c r="W354" s="301">
        <v>625</v>
      </c>
      <c r="Y354" s="567">
        <v>12</v>
      </c>
      <c r="Z354" s="189"/>
      <c r="AA354" s="541" t="s">
        <v>123</v>
      </c>
      <c r="AB354" s="537">
        <v>44193</v>
      </c>
      <c r="AC354" s="537">
        <v>46018</v>
      </c>
      <c r="AD354" s="769" t="s">
        <v>124</v>
      </c>
      <c r="AE354" s="718" t="s">
        <v>67</v>
      </c>
      <c r="AF354" s="700"/>
      <c r="AG354" s="700"/>
      <c r="AH354" s="547"/>
      <c r="AI354" s="478"/>
      <c r="AJ354" s="189"/>
      <c r="AK354" s="568">
        <v>3401110001</v>
      </c>
      <c r="AM354" s="666" t="s">
        <v>1947</v>
      </c>
      <c r="AN354" s="665" t="s">
        <v>1948</v>
      </c>
      <c r="AO354" s="665" t="s">
        <v>1949</v>
      </c>
      <c r="AP354" s="655" t="s">
        <v>1950</v>
      </c>
      <c r="AQ354" s="609"/>
      <c r="AR354" s="656"/>
      <c r="AS354" s="657"/>
      <c r="AU354" s="189"/>
      <c r="AV354" s="189"/>
      <c r="AW354" s="189"/>
      <c r="AX354" s="521"/>
      <c r="AY354" s="507"/>
      <c r="AZ354" s="189"/>
      <c r="BA354" s="189"/>
      <c r="BB354" s="189"/>
      <c r="BC354" s="517"/>
      <c r="BD354" s="189"/>
      <c r="BF354" s="445"/>
    </row>
    <row r="355" spans="1:58" ht="15.75" customHeight="1">
      <c r="A355" s="116">
        <v>4627101822711</v>
      </c>
      <c r="B355" s="108">
        <v>1548</v>
      </c>
      <c r="C355" s="369" t="s">
        <v>1951</v>
      </c>
      <c r="D355" s="833"/>
      <c r="E355" s="396" t="s">
        <v>1946</v>
      </c>
      <c r="F355" s="249"/>
      <c r="G355" s="239"/>
      <c r="H355" s="239"/>
      <c r="I355" s="238"/>
      <c r="J355" s="408">
        <v>330</v>
      </c>
      <c r="K355" s="104">
        <f t="shared" si="271"/>
        <v>0</v>
      </c>
      <c r="L355" s="413">
        <f t="shared" si="266"/>
        <v>346.5</v>
      </c>
      <c r="M355" s="104">
        <f t="shared" si="272"/>
        <v>0</v>
      </c>
      <c r="N355" s="413">
        <f t="shared" si="267"/>
        <v>363</v>
      </c>
      <c r="O355" s="104">
        <f t="shared" si="273"/>
        <v>0</v>
      </c>
      <c r="P355" s="413">
        <f t="shared" si="268"/>
        <v>379.5</v>
      </c>
      <c r="Q355" s="104">
        <f t="shared" si="274"/>
        <v>0</v>
      </c>
      <c r="R355" s="413">
        <f t="shared" si="269"/>
        <v>412.5</v>
      </c>
      <c r="S355" s="104">
        <f t="shared" si="275"/>
        <v>0</v>
      </c>
      <c r="T355" s="112">
        <v>159</v>
      </c>
      <c r="U355" s="105">
        <f t="shared" si="270"/>
        <v>0</v>
      </c>
      <c r="V355" s="106"/>
      <c r="W355" s="301">
        <v>625</v>
      </c>
      <c r="Y355" s="567">
        <v>12</v>
      </c>
      <c r="Z355" s="189"/>
      <c r="AA355" s="541" t="s">
        <v>123</v>
      </c>
      <c r="AB355" s="537">
        <v>44193</v>
      </c>
      <c r="AC355" s="537">
        <v>46018</v>
      </c>
      <c r="AD355" s="769" t="s">
        <v>124</v>
      </c>
      <c r="AE355" s="718" t="s">
        <v>67</v>
      </c>
      <c r="AF355" s="700"/>
      <c r="AG355" s="700"/>
      <c r="AH355" s="547"/>
      <c r="AI355" s="478"/>
      <c r="AJ355" s="189"/>
      <c r="AK355" s="568">
        <v>3401110001</v>
      </c>
      <c r="AM355" s="666" t="s">
        <v>1952</v>
      </c>
      <c r="AN355" s="665" t="s">
        <v>1953</v>
      </c>
      <c r="AO355" s="665" t="s">
        <v>1949</v>
      </c>
      <c r="AP355" s="655" t="s">
        <v>1954</v>
      </c>
      <c r="AQ355" s="609"/>
      <c r="AR355" s="656"/>
      <c r="AS355" s="657"/>
      <c r="AU355" s="189"/>
      <c r="AV355" s="189"/>
      <c r="AW355" s="189"/>
      <c r="AX355" s="521"/>
      <c r="AY355" s="507"/>
      <c r="AZ355" s="189"/>
      <c r="BA355" s="189"/>
      <c r="BB355" s="189"/>
      <c r="BC355" s="517"/>
      <c r="BD355" s="189"/>
      <c r="BF355" s="445"/>
    </row>
    <row r="356" spans="1:58" ht="15.75" customHeight="1">
      <c r="A356" s="116">
        <v>4627101822742</v>
      </c>
      <c r="B356" s="108">
        <v>1549</v>
      </c>
      <c r="C356" s="369" t="s">
        <v>1955</v>
      </c>
      <c r="D356" s="833"/>
      <c r="E356" s="396" t="s">
        <v>1946</v>
      </c>
      <c r="F356" s="249"/>
      <c r="G356" s="239"/>
      <c r="H356" s="239"/>
      <c r="I356" s="238"/>
      <c r="J356" s="408">
        <v>330</v>
      </c>
      <c r="K356" s="104">
        <f t="shared" si="271"/>
        <v>0</v>
      </c>
      <c r="L356" s="413">
        <f t="shared" si="266"/>
        <v>346.5</v>
      </c>
      <c r="M356" s="104">
        <f t="shared" si="272"/>
        <v>0</v>
      </c>
      <c r="N356" s="413">
        <f t="shared" si="267"/>
        <v>363</v>
      </c>
      <c r="O356" s="104">
        <f t="shared" si="273"/>
        <v>0</v>
      </c>
      <c r="P356" s="413">
        <f t="shared" si="268"/>
        <v>379.5</v>
      </c>
      <c r="Q356" s="104">
        <f t="shared" si="274"/>
        <v>0</v>
      </c>
      <c r="R356" s="413">
        <f t="shared" si="269"/>
        <v>412.5</v>
      </c>
      <c r="S356" s="104">
        <f t="shared" si="275"/>
        <v>0</v>
      </c>
      <c r="T356" s="112">
        <v>159</v>
      </c>
      <c r="U356" s="105">
        <f t="shared" si="270"/>
        <v>0</v>
      </c>
      <c r="V356" s="106"/>
      <c r="W356" s="301">
        <v>625</v>
      </c>
      <c r="Y356" s="567">
        <v>12</v>
      </c>
      <c r="Z356" s="189"/>
      <c r="AA356" s="541" t="s">
        <v>123</v>
      </c>
      <c r="AB356" s="537">
        <v>44193</v>
      </c>
      <c r="AC356" s="537">
        <v>46018</v>
      </c>
      <c r="AD356" s="769" t="s">
        <v>124</v>
      </c>
      <c r="AE356" s="718" t="s">
        <v>67</v>
      </c>
      <c r="AF356" s="700"/>
      <c r="AG356" s="700"/>
      <c r="AH356" s="547"/>
      <c r="AI356" s="478"/>
      <c r="AJ356" s="189"/>
      <c r="AK356" s="568">
        <v>3401110001</v>
      </c>
      <c r="AM356" s="666" t="s">
        <v>1956</v>
      </c>
      <c r="AN356" s="665" t="s">
        <v>1957</v>
      </c>
      <c r="AO356" s="665" t="s">
        <v>1949</v>
      </c>
      <c r="AP356" s="655" t="s">
        <v>1958</v>
      </c>
      <c r="AQ356" s="609"/>
      <c r="AR356" s="656"/>
      <c r="AS356" s="657"/>
      <c r="AU356" s="189"/>
      <c r="AV356" s="189"/>
      <c r="AW356" s="189"/>
      <c r="AX356" s="521"/>
      <c r="AY356" s="507"/>
      <c r="AZ356" s="189"/>
      <c r="BA356" s="189"/>
      <c r="BB356" s="189"/>
      <c r="BC356" s="517"/>
      <c r="BD356" s="189"/>
      <c r="BF356" s="445"/>
    </row>
    <row r="357" spans="1:58" ht="15.75" customHeight="1">
      <c r="A357" s="116">
        <v>4627101822735</v>
      </c>
      <c r="B357" s="108">
        <v>1550</v>
      </c>
      <c r="C357" s="369" t="s">
        <v>1959</v>
      </c>
      <c r="D357" s="833"/>
      <c r="E357" s="396" t="s">
        <v>1946</v>
      </c>
      <c r="F357" s="249"/>
      <c r="G357" s="239"/>
      <c r="H357" s="239"/>
      <c r="I357" s="238"/>
      <c r="J357" s="408">
        <v>330</v>
      </c>
      <c r="K357" s="104">
        <f t="shared" si="271"/>
        <v>0</v>
      </c>
      <c r="L357" s="413">
        <f t="shared" si="266"/>
        <v>346.5</v>
      </c>
      <c r="M357" s="104">
        <f t="shared" si="272"/>
        <v>0</v>
      </c>
      <c r="N357" s="413">
        <f t="shared" si="267"/>
        <v>363</v>
      </c>
      <c r="O357" s="104">
        <f t="shared" si="273"/>
        <v>0</v>
      </c>
      <c r="P357" s="413">
        <f t="shared" si="268"/>
        <v>379.5</v>
      </c>
      <c r="Q357" s="104">
        <f t="shared" si="274"/>
        <v>0</v>
      </c>
      <c r="R357" s="413">
        <f t="shared" si="269"/>
        <v>412.5</v>
      </c>
      <c r="S357" s="104">
        <f t="shared" si="275"/>
        <v>0</v>
      </c>
      <c r="T357" s="112">
        <v>159</v>
      </c>
      <c r="U357" s="105">
        <f t="shared" si="270"/>
        <v>0</v>
      </c>
      <c r="V357" s="106"/>
      <c r="W357" s="301">
        <v>625</v>
      </c>
      <c r="Y357" s="567">
        <v>12</v>
      </c>
      <c r="Z357" s="189"/>
      <c r="AA357" s="541" t="s">
        <v>123</v>
      </c>
      <c r="AB357" s="537">
        <v>44193</v>
      </c>
      <c r="AC357" s="537">
        <v>46018</v>
      </c>
      <c r="AD357" s="769" t="s">
        <v>124</v>
      </c>
      <c r="AE357" s="718" t="s">
        <v>67</v>
      </c>
      <c r="AF357" s="700"/>
      <c r="AG357" s="700"/>
      <c r="AH357" s="547"/>
      <c r="AI357" s="478"/>
      <c r="AJ357" s="189"/>
      <c r="AK357" s="568">
        <v>3401110001</v>
      </c>
      <c r="AM357" s="666" t="s">
        <v>1960</v>
      </c>
      <c r="AN357" s="665" t="s">
        <v>1961</v>
      </c>
      <c r="AO357" s="665" t="s">
        <v>1949</v>
      </c>
      <c r="AP357" s="655" t="s">
        <v>1962</v>
      </c>
      <c r="AQ357" s="609"/>
      <c r="AR357" s="656"/>
      <c r="AS357" s="657"/>
      <c r="AU357" s="189"/>
      <c r="AV357" s="189"/>
      <c r="AW357" s="189"/>
      <c r="AX357" s="521"/>
      <c r="AY357" s="507"/>
      <c r="AZ357" s="189"/>
      <c r="BA357" s="189"/>
      <c r="BB357" s="189"/>
      <c r="BC357" s="517"/>
      <c r="BD357" s="189"/>
      <c r="BF357" s="445"/>
    </row>
    <row r="358" spans="1:58" ht="18.75" customHeight="1">
      <c r="A358" s="485" t="s">
        <v>156</v>
      </c>
      <c r="B358" s="333"/>
      <c r="C358" s="334" t="s">
        <v>1963</v>
      </c>
      <c r="D358" s="828"/>
      <c r="E358" s="335"/>
      <c r="F358" s="491"/>
      <c r="G358" s="289"/>
      <c r="H358" s="289"/>
      <c r="I358" s="356"/>
      <c r="J358" s="357"/>
      <c r="K358" s="488">
        <f>K359+K360+K362+K363+K365+K364+K366+K361</f>
        <v>0</v>
      </c>
      <c r="L358" s="489"/>
      <c r="M358" s="488">
        <f>M359+M360+M362+M363+M365+M364+M366+M361</f>
        <v>0</v>
      </c>
      <c r="N358" s="489"/>
      <c r="O358" s="488">
        <f>O359+O360+O362+O363+O365+O364+O366+O361</f>
        <v>0</v>
      </c>
      <c r="P358" s="489"/>
      <c r="Q358" s="488">
        <f>Q359+Q360+Q362+Q363+Q365+Q364+Q366+Q361</f>
        <v>0</v>
      </c>
      <c r="R358" s="489"/>
      <c r="S358" s="488">
        <f>S359+S360+S362+S363+S365+S364+S366+S361</f>
        <v>0</v>
      </c>
      <c r="T358" s="346"/>
      <c r="U358" s="313">
        <f>SUM(U359:U392)</f>
        <v>0</v>
      </c>
      <c r="V358" s="293"/>
      <c r="W358" s="293"/>
      <c r="Y358" s="562"/>
      <c r="Z358" s="293"/>
      <c r="AA358" s="772"/>
      <c r="AB358" s="543"/>
      <c r="AC358" s="543"/>
      <c r="AD358" s="716"/>
      <c r="AE358" s="716"/>
      <c r="AF358" s="701"/>
      <c r="AG358" s="701"/>
      <c r="AH358" s="546"/>
      <c r="AI358" s="675"/>
      <c r="AJ358" s="293"/>
      <c r="AK358" s="563"/>
      <c r="AL358" s="554"/>
      <c r="AM358" s="562"/>
      <c r="AN358" s="293"/>
      <c r="AO358" s="293"/>
      <c r="AP358" s="293"/>
      <c r="AQ358" s="293"/>
      <c r="AR358" s="293"/>
      <c r="AS358" s="563"/>
      <c r="AU358" s="293"/>
      <c r="AV358" s="293"/>
      <c r="AW358" s="293"/>
      <c r="AX358" s="293"/>
      <c r="AY358" s="293"/>
      <c r="AZ358" s="293"/>
      <c r="BA358" s="293"/>
      <c r="BB358" s="293"/>
      <c r="BC358" s="293"/>
      <c r="BD358" s="293"/>
      <c r="BF358" s="445"/>
    </row>
    <row r="359" spans="1:58" ht="15.75" customHeight="1">
      <c r="A359" s="354">
        <v>4627101823190</v>
      </c>
      <c r="B359" s="100">
        <v>1915</v>
      </c>
      <c r="C359" s="253" t="s">
        <v>1964</v>
      </c>
      <c r="D359" s="830"/>
      <c r="E359" s="101" t="s">
        <v>1931</v>
      </c>
      <c r="F359" s="249"/>
      <c r="G359" s="240"/>
      <c r="H359" s="240"/>
      <c r="I359" s="238"/>
      <c r="J359" s="367">
        <v>175</v>
      </c>
      <c r="K359" s="104">
        <f t="shared" ref="K359:K366" si="276">F359*J359</f>
        <v>0</v>
      </c>
      <c r="L359" s="238">
        <f>J359+J359*5%</f>
        <v>183.75</v>
      </c>
      <c r="M359" s="104">
        <f t="shared" ref="M359:M366" si="277">F359*L359</f>
        <v>0</v>
      </c>
      <c r="N359" s="238">
        <f>J359+J359*10%</f>
        <v>192.5</v>
      </c>
      <c r="O359" s="104">
        <f t="shared" ref="O359:O366" si="278">F359*N359</f>
        <v>0</v>
      </c>
      <c r="P359" s="238">
        <f>J359+J359*15%</f>
        <v>201.25</v>
      </c>
      <c r="Q359" s="104">
        <f>P359*F359</f>
        <v>0</v>
      </c>
      <c r="R359" s="238">
        <f>J359+J359*25%</f>
        <v>218.75</v>
      </c>
      <c r="S359" s="104">
        <f t="shared" ref="S359:S366" si="279">F359*R359</f>
        <v>0</v>
      </c>
      <c r="T359" s="105">
        <v>155</v>
      </c>
      <c r="U359" s="105">
        <f t="shared" ref="U359:U366" si="280">T359*F359</f>
        <v>0</v>
      </c>
      <c r="V359" s="106"/>
      <c r="W359" s="301">
        <v>335</v>
      </c>
      <c r="Y359" s="567">
        <v>12</v>
      </c>
      <c r="Z359" s="189"/>
      <c r="AA359" s="541" t="s">
        <v>123</v>
      </c>
      <c r="AB359" s="537">
        <v>44193</v>
      </c>
      <c r="AC359" s="537">
        <v>46018</v>
      </c>
      <c r="AD359" s="769" t="s">
        <v>124</v>
      </c>
      <c r="AE359" s="718" t="s">
        <v>67</v>
      </c>
      <c r="AF359" s="700" t="s">
        <v>1965</v>
      </c>
      <c r="AG359" s="700" t="s">
        <v>1966</v>
      </c>
      <c r="AH359" s="547" t="s">
        <v>1967</v>
      </c>
      <c r="AI359" s="478"/>
      <c r="AJ359" s="189"/>
      <c r="AK359" s="568">
        <v>3401110001</v>
      </c>
      <c r="AM359" s="610" t="s">
        <v>1968</v>
      </c>
      <c r="AN359" s="611" t="s">
        <v>1969</v>
      </c>
      <c r="AO359" s="611" t="s">
        <v>1970</v>
      </c>
      <c r="AP359" s="616" t="s">
        <v>1971</v>
      </c>
      <c r="AQ359" s="637" t="s">
        <v>1972</v>
      </c>
      <c r="AR359" s="634"/>
      <c r="AS359" s="635"/>
      <c r="AU359" s="189"/>
      <c r="AV359" s="189"/>
      <c r="AW359" s="189"/>
      <c r="AX359" s="521">
        <f t="shared" ref="AX359:AX365" si="281">90*61*27/1000000000</f>
        <v>1.4823000000000001E-4</v>
      </c>
      <c r="AY359" s="507"/>
      <c r="AZ359" s="189"/>
      <c r="BA359" s="189"/>
      <c r="BB359" s="189"/>
      <c r="BC359" s="517"/>
      <c r="BD359" s="189"/>
      <c r="BF359" s="445"/>
    </row>
    <row r="360" spans="1:58" ht="15.75" customHeight="1">
      <c r="A360" s="354">
        <v>4627101823251</v>
      </c>
      <c r="B360" s="100">
        <v>1896</v>
      </c>
      <c r="C360" s="253" t="s">
        <v>1973</v>
      </c>
      <c r="D360" s="830"/>
      <c r="E360" s="101" t="s">
        <v>1931</v>
      </c>
      <c r="F360" s="249"/>
      <c r="G360" s="240"/>
      <c r="H360" s="240"/>
      <c r="I360" s="238"/>
      <c r="J360" s="367">
        <v>175</v>
      </c>
      <c r="K360" s="104">
        <f t="shared" si="276"/>
        <v>0</v>
      </c>
      <c r="L360" s="238">
        <f t="shared" ref="L360:L366" si="282">J360+J360*5%</f>
        <v>183.75</v>
      </c>
      <c r="M360" s="104">
        <f t="shared" si="277"/>
        <v>0</v>
      </c>
      <c r="N360" s="238">
        <f t="shared" ref="N360:N366" si="283">J360+J360*10%</f>
        <v>192.5</v>
      </c>
      <c r="O360" s="104">
        <f t="shared" si="278"/>
        <v>0</v>
      </c>
      <c r="P360" s="238">
        <f t="shared" ref="P360:P366" si="284">J360+J360*15%</f>
        <v>201.25</v>
      </c>
      <c r="Q360" s="104">
        <f>P360*F360</f>
        <v>0</v>
      </c>
      <c r="R360" s="238">
        <f t="shared" ref="R360:R366" si="285">J360+J360*25%</f>
        <v>218.75</v>
      </c>
      <c r="S360" s="104">
        <f t="shared" si="279"/>
        <v>0</v>
      </c>
      <c r="T360" s="105">
        <v>155</v>
      </c>
      <c r="U360" s="105">
        <f t="shared" si="280"/>
        <v>0</v>
      </c>
      <c r="V360" s="106"/>
      <c r="W360" s="301">
        <v>335</v>
      </c>
      <c r="Y360" s="567">
        <v>12</v>
      </c>
      <c r="Z360" s="189"/>
      <c r="AA360" s="541" t="s">
        <v>123</v>
      </c>
      <c r="AB360" s="537">
        <v>44193</v>
      </c>
      <c r="AC360" s="537">
        <v>46018</v>
      </c>
      <c r="AD360" s="769" t="s">
        <v>124</v>
      </c>
      <c r="AE360" s="718" t="s">
        <v>67</v>
      </c>
      <c r="AF360" s="700" t="s">
        <v>1974</v>
      </c>
      <c r="AG360" s="700" t="s">
        <v>1975</v>
      </c>
      <c r="AH360" s="547" t="s">
        <v>1967</v>
      </c>
      <c r="AI360" s="478"/>
      <c r="AJ360" s="189"/>
      <c r="AK360" s="568">
        <v>3401110001</v>
      </c>
      <c r="AM360" s="610" t="s">
        <v>1976</v>
      </c>
      <c r="AN360" s="611" t="s">
        <v>1977</v>
      </c>
      <c r="AO360" s="611" t="s">
        <v>1978</v>
      </c>
      <c r="AP360" s="616" t="s">
        <v>1979</v>
      </c>
      <c r="AQ360" s="609" t="s">
        <v>1980</v>
      </c>
      <c r="AR360" s="634"/>
      <c r="AS360" s="635"/>
      <c r="AU360" s="189"/>
      <c r="AV360" s="189"/>
      <c r="AW360" s="189"/>
      <c r="AX360" s="521">
        <f t="shared" si="281"/>
        <v>1.4823000000000001E-4</v>
      </c>
      <c r="AY360" s="507"/>
      <c r="AZ360" s="189"/>
      <c r="BA360" s="189"/>
      <c r="BB360" s="189"/>
      <c r="BC360" s="517"/>
      <c r="BD360" s="189"/>
      <c r="BF360" s="445"/>
    </row>
    <row r="361" spans="1:58" ht="15.75" customHeight="1">
      <c r="A361" s="354">
        <v>4627186343750</v>
      </c>
      <c r="B361" s="100">
        <v>4360</v>
      </c>
      <c r="C361" s="253" t="s">
        <v>1981</v>
      </c>
      <c r="D361" s="830"/>
      <c r="E361" s="101"/>
      <c r="F361" s="249"/>
      <c r="G361" s="240"/>
      <c r="H361" s="240"/>
      <c r="I361" s="238"/>
      <c r="J361" s="367">
        <v>175</v>
      </c>
      <c r="K361" s="104">
        <f>J361*F361</f>
        <v>0</v>
      </c>
      <c r="L361" s="238">
        <v>184</v>
      </c>
      <c r="M361" s="104">
        <f>L361*F361</f>
        <v>0</v>
      </c>
      <c r="N361" s="238">
        <v>193</v>
      </c>
      <c r="O361" s="104">
        <f>N361*F361</f>
        <v>0</v>
      </c>
      <c r="P361" s="238">
        <v>201</v>
      </c>
      <c r="Q361" s="104">
        <f>P361*F361</f>
        <v>0</v>
      </c>
      <c r="R361" s="238">
        <v>219</v>
      </c>
      <c r="S361" s="104">
        <f>R361*F361</f>
        <v>0</v>
      </c>
      <c r="T361" s="105">
        <v>155</v>
      </c>
      <c r="U361" s="105">
        <f>T361*F361</f>
        <v>0</v>
      </c>
      <c r="V361" s="106"/>
      <c r="W361" s="301">
        <v>335</v>
      </c>
      <c r="Y361" s="567">
        <v>12</v>
      </c>
      <c r="Z361" s="189"/>
      <c r="AA361" s="541" t="s">
        <v>123</v>
      </c>
      <c r="AB361" s="537">
        <v>44193</v>
      </c>
      <c r="AC361" s="537">
        <v>46018</v>
      </c>
      <c r="AD361" s="769" t="s">
        <v>1982</v>
      </c>
      <c r="AE361" s="718"/>
      <c r="AF361" s="700"/>
      <c r="AG361" s="700"/>
      <c r="AH361" s="547"/>
      <c r="AI361" s="478"/>
      <c r="AJ361" s="189"/>
      <c r="AK361" s="568"/>
      <c r="AM361" s="610"/>
      <c r="AN361" s="611"/>
      <c r="AO361" s="611"/>
      <c r="AP361" s="616"/>
      <c r="AQ361" s="609"/>
      <c r="AR361" s="634"/>
      <c r="AS361" s="635"/>
      <c r="AU361" s="189"/>
      <c r="AV361" s="189"/>
      <c r="AW361" s="189"/>
      <c r="AX361" s="521"/>
      <c r="AY361" s="507"/>
      <c r="AZ361" s="189"/>
      <c r="BA361" s="189"/>
      <c r="BB361" s="189"/>
      <c r="BC361" s="517"/>
      <c r="BD361" s="189"/>
      <c r="BF361" s="445"/>
    </row>
    <row r="362" spans="1:58" ht="15.75" customHeight="1">
      <c r="A362" s="354">
        <v>4627101823268</v>
      </c>
      <c r="B362" s="100">
        <v>1955</v>
      </c>
      <c r="C362" s="253" t="s">
        <v>1983</v>
      </c>
      <c r="D362" s="830"/>
      <c r="E362" s="101" t="s">
        <v>1931</v>
      </c>
      <c r="F362" s="249"/>
      <c r="G362" s="240"/>
      <c r="H362" s="240"/>
      <c r="I362" s="238"/>
      <c r="J362" s="367">
        <v>175</v>
      </c>
      <c r="K362" s="104">
        <f t="shared" si="276"/>
        <v>0</v>
      </c>
      <c r="L362" s="238">
        <f t="shared" si="282"/>
        <v>183.75</v>
      </c>
      <c r="M362" s="104">
        <f t="shared" si="277"/>
        <v>0</v>
      </c>
      <c r="N362" s="238">
        <f t="shared" si="283"/>
        <v>192.5</v>
      </c>
      <c r="O362" s="104">
        <f t="shared" si="278"/>
        <v>0</v>
      </c>
      <c r="P362" s="238">
        <f t="shared" si="284"/>
        <v>201.25</v>
      </c>
      <c r="Q362" s="104">
        <f>P362*F362</f>
        <v>0</v>
      </c>
      <c r="R362" s="238">
        <f t="shared" si="285"/>
        <v>218.75</v>
      </c>
      <c r="S362" s="104">
        <f t="shared" si="279"/>
        <v>0</v>
      </c>
      <c r="T362" s="105">
        <v>155</v>
      </c>
      <c r="U362" s="105">
        <f t="shared" si="280"/>
        <v>0</v>
      </c>
      <c r="V362" s="106"/>
      <c r="W362" s="301">
        <v>335</v>
      </c>
      <c r="Y362" s="567">
        <v>12</v>
      </c>
      <c r="Z362" s="189"/>
      <c r="AA362" s="541" t="s">
        <v>123</v>
      </c>
      <c r="AB362" s="537">
        <v>44193</v>
      </c>
      <c r="AC362" s="537">
        <v>46018</v>
      </c>
      <c r="AD362" s="769" t="s">
        <v>124</v>
      </c>
      <c r="AE362" s="718" t="s">
        <v>67</v>
      </c>
      <c r="AF362" s="700" t="s">
        <v>1984</v>
      </c>
      <c r="AG362" s="700" t="s">
        <v>1490</v>
      </c>
      <c r="AH362" s="547" t="s">
        <v>1967</v>
      </c>
      <c r="AI362" s="478"/>
      <c r="AJ362" s="189"/>
      <c r="AK362" s="568">
        <v>3401110001</v>
      </c>
      <c r="AM362" s="610" t="s">
        <v>1985</v>
      </c>
      <c r="AN362" s="611" t="s">
        <v>1986</v>
      </c>
      <c r="AO362" s="611" t="s">
        <v>1987</v>
      </c>
      <c r="AP362" s="616" t="s">
        <v>1988</v>
      </c>
      <c r="AQ362" s="637" t="s">
        <v>1989</v>
      </c>
      <c r="AR362" s="634"/>
      <c r="AS362" s="635"/>
      <c r="AU362" s="189"/>
      <c r="AV362" s="189"/>
      <c r="AW362" s="189"/>
      <c r="AX362" s="521">
        <f t="shared" si="281"/>
        <v>1.4823000000000001E-4</v>
      </c>
      <c r="AY362" s="507"/>
      <c r="AZ362" s="189"/>
      <c r="BA362" s="189"/>
      <c r="BB362" s="189"/>
      <c r="BC362" s="517"/>
      <c r="BD362" s="189"/>
      <c r="BF362" s="445"/>
    </row>
    <row r="363" spans="1:58" ht="15.75" customHeight="1">
      <c r="A363" s="354">
        <v>4627101823206</v>
      </c>
      <c r="B363" s="100">
        <v>1938</v>
      </c>
      <c r="C363" s="253" t="s">
        <v>1990</v>
      </c>
      <c r="D363" s="830"/>
      <c r="E363" s="101" t="s">
        <v>1931</v>
      </c>
      <c r="F363" s="249"/>
      <c r="G363" s="240"/>
      <c r="H363" s="240"/>
      <c r="I363" s="238"/>
      <c r="J363" s="367">
        <v>175</v>
      </c>
      <c r="K363" s="104">
        <f t="shared" si="276"/>
        <v>0</v>
      </c>
      <c r="L363" s="238">
        <f t="shared" si="282"/>
        <v>183.75</v>
      </c>
      <c r="M363" s="104">
        <f t="shared" si="277"/>
        <v>0</v>
      </c>
      <c r="N363" s="238">
        <f t="shared" si="283"/>
        <v>192.5</v>
      </c>
      <c r="O363" s="104">
        <f t="shared" si="278"/>
        <v>0</v>
      </c>
      <c r="P363" s="238">
        <f t="shared" si="284"/>
        <v>201.25</v>
      </c>
      <c r="Q363" s="104">
        <f>F363*P363</f>
        <v>0</v>
      </c>
      <c r="R363" s="238">
        <f t="shared" si="285"/>
        <v>218.75</v>
      </c>
      <c r="S363" s="104">
        <f t="shared" si="279"/>
        <v>0</v>
      </c>
      <c r="T363" s="105">
        <v>155</v>
      </c>
      <c r="U363" s="105">
        <f t="shared" si="280"/>
        <v>0</v>
      </c>
      <c r="V363" s="106"/>
      <c r="W363" s="301">
        <v>335</v>
      </c>
      <c r="Y363" s="567">
        <v>12</v>
      </c>
      <c r="Z363" s="189"/>
      <c r="AA363" s="541" t="s">
        <v>123</v>
      </c>
      <c r="AB363" s="537">
        <v>44193</v>
      </c>
      <c r="AC363" s="537">
        <v>46018</v>
      </c>
      <c r="AD363" s="769" t="s">
        <v>124</v>
      </c>
      <c r="AE363" s="718" t="s">
        <v>67</v>
      </c>
      <c r="AF363" s="700" t="s">
        <v>212</v>
      </c>
      <c r="AG363" s="700" t="s">
        <v>1991</v>
      </c>
      <c r="AH363" s="547" t="s">
        <v>1967</v>
      </c>
      <c r="AI363" s="478"/>
      <c r="AJ363" s="189"/>
      <c r="AK363" s="568">
        <v>3401110001</v>
      </c>
      <c r="AM363" s="610" t="s">
        <v>1992</v>
      </c>
      <c r="AN363" s="611" t="s">
        <v>1993</v>
      </c>
      <c r="AO363" s="611" t="s">
        <v>1970</v>
      </c>
      <c r="AP363" s="616" t="s">
        <v>1994</v>
      </c>
      <c r="AQ363" s="637" t="s">
        <v>1995</v>
      </c>
      <c r="AR363" s="634"/>
      <c r="AS363" s="635"/>
      <c r="AU363" s="189"/>
      <c r="AV363" s="189"/>
      <c r="AW363" s="189"/>
      <c r="AX363" s="521">
        <f t="shared" si="281"/>
        <v>1.4823000000000001E-4</v>
      </c>
      <c r="AY363" s="507"/>
      <c r="AZ363" s="189"/>
      <c r="BA363" s="189"/>
      <c r="BB363" s="189"/>
      <c r="BC363" s="517"/>
      <c r="BD363" s="189"/>
      <c r="BF363" s="445"/>
    </row>
    <row r="364" spans="1:58" ht="15.75" customHeight="1">
      <c r="A364" s="354">
        <v>4620748860191</v>
      </c>
      <c r="B364" s="100">
        <v>4385</v>
      </c>
      <c r="C364" s="253" t="s">
        <v>1996</v>
      </c>
      <c r="D364" s="830"/>
      <c r="E364" s="101"/>
      <c r="F364" s="249"/>
      <c r="G364" s="240"/>
      <c r="H364" s="240"/>
      <c r="I364" s="238"/>
      <c r="J364" s="367">
        <v>175</v>
      </c>
      <c r="K364" s="104">
        <f t="shared" si="276"/>
        <v>0</v>
      </c>
      <c r="L364" s="238">
        <f t="shared" si="282"/>
        <v>183.75</v>
      </c>
      <c r="M364" s="104">
        <f t="shared" si="277"/>
        <v>0</v>
      </c>
      <c r="N364" s="238">
        <f t="shared" si="283"/>
        <v>192.5</v>
      </c>
      <c r="O364" s="104">
        <f t="shared" si="278"/>
        <v>0</v>
      </c>
      <c r="P364" s="238">
        <f t="shared" si="284"/>
        <v>201.25</v>
      </c>
      <c r="Q364" s="104">
        <f>P364*F364</f>
        <v>0</v>
      </c>
      <c r="R364" s="238">
        <f t="shared" si="285"/>
        <v>218.75</v>
      </c>
      <c r="S364" s="104">
        <f t="shared" si="279"/>
        <v>0</v>
      </c>
      <c r="T364" s="105">
        <v>155</v>
      </c>
      <c r="U364" s="105">
        <f t="shared" si="280"/>
        <v>0</v>
      </c>
      <c r="V364" s="106"/>
      <c r="W364" s="301">
        <v>335</v>
      </c>
      <c r="Y364" s="567"/>
      <c r="Z364" s="189"/>
      <c r="AA364" s="541" t="s">
        <v>123</v>
      </c>
      <c r="AB364" s="537">
        <v>44193</v>
      </c>
      <c r="AC364" s="537">
        <v>46018</v>
      </c>
      <c r="AD364" s="769" t="s">
        <v>1997</v>
      </c>
      <c r="AE364" s="718"/>
      <c r="AF364" s="700"/>
      <c r="AG364" s="700"/>
      <c r="AH364" s="547"/>
      <c r="AI364" s="478"/>
      <c r="AJ364" s="189"/>
      <c r="AK364" s="568"/>
      <c r="AM364" s="610"/>
      <c r="AN364" s="611"/>
      <c r="AO364" s="611"/>
      <c r="AP364" s="616"/>
      <c r="AQ364" s="637"/>
      <c r="AR364" s="634"/>
      <c r="AS364" s="635"/>
      <c r="AU364" s="189"/>
      <c r="AV364" s="189"/>
      <c r="AW364" s="189"/>
      <c r="AX364" s="521"/>
      <c r="AY364" s="507"/>
      <c r="AZ364" s="189"/>
      <c r="BA364" s="189"/>
      <c r="BB364" s="189"/>
      <c r="BC364" s="517"/>
      <c r="BD364" s="189"/>
      <c r="BF364" s="445"/>
    </row>
    <row r="365" spans="1:58" ht="15.75" customHeight="1">
      <c r="A365" s="354">
        <v>4627101823220</v>
      </c>
      <c r="B365" s="100">
        <v>1940</v>
      </c>
      <c r="C365" s="253" t="s">
        <v>1998</v>
      </c>
      <c r="D365" s="830"/>
      <c r="E365" s="101" t="s">
        <v>1931</v>
      </c>
      <c r="F365" s="249"/>
      <c r="G365" s="240"/>
      <c r="H365" s="240"/>
      <c r="I365" s="238"/>
      <c r="J365" s="367">
        <v>175</v>
      </c>
      <c r="K365" s="104">
        <f t="shared" si="276"/>
        <v>0</v>
      </c>
      <c r="L365" s="238">
        <f t="shared" si="282"/>
        <v>183.75</v>
      </c>
      <c r="M365" s="104">
        <f t="shared" si="277"/>
        <v>0</v>
      </c>
      <c r="N365" s="238">
        <f t="shared" si="283"/>
        <v>192.5</v>
      </c>
      <c r="O365" s="104">
        <f t="shared" si="278"/>
        <v>0</v>
      </c>
      <c r="P365" s="238">
        <f t="shared" si="284"/>
        <v>201.25</v>
      </c>
      <c r="Q365" s="104">
        <f>P365*F365</f>
        <v>0</v>
      </c>
      <c r="R365" s="238">
        <f t="shared" si="285"/>
        <v>218.75</v>
      </c>
      <c r="S365" s="104">
        <f t="shared" si="279"/>
        <v>0</v>
      </c>
      <c r="T365" s="105">
        <v>155</v>
      </c>
      <c r="U365" s="105">
        <f t="shared" si="280"/>
        <v>0</v>
      </c>
      <c r="V365" s="106"/>
      <c r="W365" s="301">
        <v>335</v>
      </c>
      <c r="Y365" s="567">
        <v>12</v>
      </c>
      <c r="Z365" s="189"/>
      <c r="AA365" s="541" t="s">
        <v>123</v>
      </c>
      <c r="AB365" s="537">
        <v>44193</v>
      </c>
      <c r="AC365" s="537">
        <v>46018</v>
      </c>
      <c r="AD365" s="769" t="s">
        <v>124</v>
      </c>
      <c r="AE365" s="718" t="s">
        <v>67</v>
      </c>
      <c r="AF365" s="700" t="s">
        <v>644</v>
      </c>
      <c r="AG365" s="700" t="s">
        <v>444</v>
      </c>
      <c r="AH365" s="547" t="s">
        <v>1967</v>
      </c>
      <c r="AI365" s="478"/>
      <c r="AJ365" s="189"/>
      <c r="AK365" s="568">
        <v>3401110001</v>
      </c>
      <c r="AM365" s="610" t="s">
        <v>1999</v>
      </c>
      <c r="AN365" s="611" t="s">
        <v>2000</v>
      </c>
      <c r="AO365" s="611" t="s">
        <v>2001</v>
      </c>
      <c r="AP365" s="616" t="s">
        <v>2002</v>
      </c>
      <c r="AQ365" s="609" t="s">
        <v>2003</v>
      </c>
      <c r="AR365" s="634"/>
      <c r="AS365" s="635"/>
      <c r="AU365" s="189"/>
      <c r="AV365" s="189"/>
      <c r="AW365" s="189"/>
      <c r="AX365" s="521">
        <f t="shared" si="281"/>
        <v>1.4823000000000001E-4</v>
      </c>
      <c r="AY365" s="507"/>
      <c r="AZ365" s="189"/>
      <c r="BA365" s="189"/>
      <c r="BB365" s="189"/>
      <c r="BC365" s="517"/>
      <c r="BD365" s="189"/>
      <c r="BF365" s="445"/>
    </row>
    <row r="366" spans="1:58" ht="15.75" customHeight="1">
      <c r="A366" s="354">
        <v>4620748861587</v>
      </c>
      <c r="B366" s="100">
        <v>4384</v>
      </c>
      <c r="C366" s="253" t="s">
        <v>2004</v>
      </c>
      <c r="D366" s="830"/>
      <c r="E366" s="101"/>
      <c r="F366" s="249"/>
      <c r="G366" s="240"/>
      <c r="H366" s="240"/>
      <c r="I366" s="238"/>
      <c r="J366" s="367">
        <v>175</v>
      </c>
      <c r="K366" s="104">
        <f t="shared" si="276"/>
        <v>0</v>
      </c>
      <c r="L366" s="238">
        <f t="shared" si="282"/>
        <v>183.75</v>
      </c>
      <c r="M366" s="104">
        <f t="shared" si="277"/>
        <v>0</v>
      </c>
      <c r="N366" s="238">
        <f t="shared" si="283"/>
        <v>192.5</v>
      </c>
      <c r="O366" s="104">
        <f t="shared" si="278"/>
        <v>0</v>
      </c>
      <c r="P366" s="238">
        <f t="shared" si="284"/>
        <v>201.25</v>
      </c>
      <c r="Q366" s="104">
        <f>P366*F366</f>
        <v>0</v>
      </c>
      <c r="R366" s="238">
        <f t="shared" si="285"/>
        <v>218.75</v>
      </c>
      <c r="S366" s="104">
        <f t="shared" si="279"/>
        <v>0</v>
      </c>
      <c r="T366" s="105">
        <v>155</v>
      </c>
      <c r="U366" s="105">
        <f t="shared" si="280"/>
        <v>0</v>
      </c>
      <c r="V366" s="106"/>
      <c r="W366" s="301">
        <v>335</v>
      </c>
      <c r="Y366" s="567"/>
      <c r="Z366" s="189"/>
      <c r="AA366" s="541" t="s">
        <v>123</v>
      </c>
      <c r="AB366" s="537">
        <v>44193</v>
      </c>
      <c r="AC366" s="537">
        <v>46018</v>
      </c>
      <c r="AD366" s="769" t="s">
        <v>2005</v>
      </c>
      <c r="AE366" s="718"/>
      <c r="AF366" s="700"/>
      <c r="AG366" s="700"/>
      <c r="AH366" s="547"/>
      <c r="AI366" s="478"/>
      <c r="AJ366" s="189"/>
      <c r="AK366" s="568"/>
      <c r="AM366" s="610"/>
      <c r="AN366" s="611"/>
      <c r="AO366" s="611"/>
      <c r="AP366" s="616"/>
      <c r="AQ366" s="609"/>
      <c r="AR366" s="634"/>
      <c r="AS366" s="635"/>
      <c r="AU366" s="189"/>
      <c r="AV366" s="189"/>
      <c r="AW366" s="189"/>
      <c r="AX366" s="521"/>
      <c r="AY366" s="507"/>
      <c r="AZ366" s="189"/>
      <c r="BA366" s="189"/>
      <c r="BB366" s="189"/>
      <c r="BC366" s="517"/>
      <c r="BD366" s="189"/>
      <c r="BF366" s="445"/>
    </row>
    <row r="367" spans="1:58" ht="21.75" customHeight="1">
      <c r="A367" s="485" t="s">
        <v>156</v>
      </c>
      <c r="B367" s="333"/>
      <c r="C367" s="334" t="s">
        <v>2006</v>
      </c>
      <c r="D367" s="828"/>
      <c r="E367" s="335"/>
      <c r="F367" s="493"/>
      <c r="G367" s="359"/>
      <c r="H367" s="359"/>
      <c r="I367" s="359"/>
      <c r="J367" s="366"/>
      <c r="K367" s="488">
        <f>K368+K369+K370+K371+K372+K373</f>
        <v>0</v>
      </c>
      <c r="L367" s="489"/>
      <c r="M367" s="488">
        <f>M368+M369+M370+M371+M372+M373</f>
        <v>0</v>
      </c>
      <c r="N367" s="489"/>
      <c r="O367" s="488">
        <f>O368+O369+O370+O371+O372+O373</f>
        <v>0</v>
      </c>
      <c r="P367" s="489"/>
      <c r="Q367" s="488">
        <f>Q368+Q369+Q370+Q371+Q372+Q373</f>
        <v>0</v>
      </c>
      <c r="R367" s="489"/>
      <c r="S367" s="488">
        <f>S368+S369+S370+S371+S372+S373</f>
        <v>0</v>
      </c>
      <c r="T367" s="346"/>
      <c r="U367" s="346">
        <f>U368+U369+U370</f>
        <v>0</v>
      </c>
      <c r="V367" s="293"/>
      <c r="W367" s="293"/>
      <c r="Y367" s="562"/>
      <c r="Z367" s="293"/>
      <c r="AA367" s="772"/>
      <c r="AB367" s="543"/>
      <c r="AC367" s="543"/>
      <c r="AD367" s="716"/>
      <c r="AE367" s="716"/>
      <c r="AF367" s="701"/>
      <c r="AG367" s="701"/>
      <c r="AH367" s="546"/>
      <c r="AI367" s="675"/>
      <c r="AJ367" s="293"/>
      <c r="AK367" s="563"/>
      <c r="AL367" s="554"/>
      <c r="AM367" s="562"/>
      <c r="AN367" s="293"/>
      <c r="AO367" s="293"/>
      <c r="AP367" s="293"/>
      <c r="AQ367" s="293"/>
      <c r="AR367" s="293"/>
      <c r="AS367" s="563"/>
      <c r="AU367" s="293"/>
      <c r="AV367" s="293"/>
      <c r="AW367" s="293"/>
      <c r="AX367" s="293"/>
      <c r="AY367" s="293"/>
      <c r="AZ367" s="293"/>
      <c r="BA367" s="293"/>
      <c r="BB367" s="293"/>
      <c r="BC367" s="293"/>
      <c r="BD367" s="293"/>
      <c r="BF367" s="445"/>
    </row>
    <row r="368" spans="1:58" ht="14.45" customHeight="1">
      <c r="A368" s="354">
        <v>4627101823800</v>
      </c>
      <c r="B368" s="100">
        <v>1477</v>
      </c>
      <c r="C368" s="253" t="s">
        <v>2007</v>
      </c>
      <c r="D368" s="830"/>
      <c r="E368" s="101" t="s">
        <v>2008</v>
      </c>
      <c r="F368" s="249"/>
      <c r="G368" s="240"/>
      <c r="H368" s="240"/>
      <c r="I368" s="238"/>
      <c r="J368" s="367">
        <v>170</v>
      </c>
      <c r="K368" s="104">
        <f t="shared" ref="K368:K373" si="286">J368*F368</f>
        <v>0</v>
      </c>
      <c r="L368" s="238">
        <f>J368+J368*5%</f>
        <v>178.5</v>
      </c>
      <c r="M368" s="104">
        <f t="shared" ref="M368:M373" si="287">L368*F368</f>
        <v>0</v>
      </c>
      <c r="N368" s="238">
        <f>J368+J368*10%</f>
        <v>187</v>
      </c>
      <c r="O368" s="104">
        <f t="shared" ref="O368:O373" si="288">N368*F368</f>
        <v>0</v>
      </c>
      <c r="P368" s="238">
        <f>J368+J368*15%</f>
        <v>195.5</v>
      </c>
      <c r="Q368" s="104">
        <f t="shared" ref="Q368:Q373" si="289">P368*F368</f>
        <v>0</v>
      </c>
      <c r="R368" s="238">
        <f>J368+J368*25%</f>
        <v>212.5</v>
      </c>
      <c r="S368" s="104">
        <f t="shared" ref="S368:S373" si="290">R368*F368</f>
        <v>0</v>
      </c>
      <c r="T368" s="105">
        <v>135</v>
      </c>
      <c r="U368" s="105">
        <f>T368*F368</f>
        <v>0</v>
      </c>
      <c r="V368" s="106"/>
      <c r="W368" s="301">
        <v>325</v>
      </c>
      <c r="Y368" s="567">
        <v>12</v>
      </c>
      <c r="Z368" s="189"/>
      <c r="AA368" s="541" t="s">
        <v>123</v>
      </c>
      <c r="AB368" s="537">
        <v>44193</v>
      </c>
      <c r="AC368" s="537">
        <v>46018</v>
      </c>
      <c r="AD368" s="769" t="s">
        <v>124</v>
      </c>
      <c r="AE368" s="718"/>
      <c r="AF368" s="700" t="s">
        <v>644</v>
      </c>
      <c r="AG368" s="700" t="s">
        <v>1305</v>
      </c>
      <c r="AH368" s="547" t="s">
        <v>2009</v>
      </c>
      <c r="AI368" s="478"/>
      <c r="AJ368" s="189"/>
      <c r="AK368" s="568">
        <v>3401110001</v>
      </c>
      <c r="AM368" s="610" t="s">
        <v>2010</v>
      </c>
      <c r="AN368" s="611" t="s">
        <v>2011</v>
      </c>
      <c r="AO368" s="629" t="s">
        <v>2012</v>
      </c>
      <c r="AP368" s="616" t="s">
        <v>2013</v>
      </c>
      <c r="AQ368" s="609" t="s">
        <v>2014</v>
      </c>
      <c r="AR368" s="634"/>
      <c r="AS368" s="635"/>
      <c r="AU368" s="189"/>
      <c r="AV368" s="189"/>
      <c r="AW368" s="189"/>
      <c r="AX368" s="521">
        <f>38*81*81/1000000000</f>
        <v>2.49318E-4</v>
      </c>
      <c r="AY368" s="507"/>
      <c r="AZ368" s="189"/>
      <c r="BA368" s="189"/>
      <c r="BB368" s="189"/>
      <c r="BC368" s="517"/>
      <c r="BD368" s="189" t="s">
        <v>315</v>
      </c>
      <c r="BF368" s="445"/>
    </row>
    <row r="369" spans="1:58" ht="14.45" customHeight="1">
      <c r="A369" s="354">
        <v>4627101823817</v>
      </c>
      <c r="B369" s="100">
        <v>1871</v>
      </c>
      <c r="C369" s="253" t="s">
        <v>2015</v>
      </c>
      <c r="D369" s="830"/>
      <c r="E369" s="101" t="s">
        <v>2008</v>
      </c>
      <c r="F369" s="249"/>
      <c r="G369" s="240"/>
      <c r="H369" s="240"/>
      <c r="I369" s="238"/>
      <c r="J369" s="367">
        <v>170</v>
      </c>
      <c r="K369" s="104">
        <f t="shared" si="286"/>
        <v>0</v>
      </c>
      <c r="L369" s="238">
        <f t="shared" ref="L369:L373" si="291">J369+J369*5%</f>
        <v>178.5</v>
      </c>
      <c r="M369" s="104">
        <f t="shared" si="287"/>
        <v>0</v>
      </c>
      <c r="N369" s="238">
        <f t="shared" ref="N369:N373" si="292">J369+J369*10%</f>
        <v>187</v>
      </c>
      <c r="O369" s="104">
        <f t="shared" si="288"/>
        <v>0</v>
      </c>
      <c r="P369" s="238">
        <f t="shared" ref="P369:P373" si="293">J369+J369*15%</f>
        <v>195.5</v>
      </c>
      <c r="Q369" s="104">
        <f t="shared" si="289"/>
        <v>0</v>
      </c>
      <c r="R369" s="238">
        <f t="shared" ref="R369:R373" si="294">J369+J369*25%</f>
        <v>212.5</v>
      </c>
      <c r="S369" s="104">
        <f t="shared" si="290"/>
        <v>0</v>
      </c>
      <c r="T369" s="105">
        <v>135</v>
      </c>
      <c r="U369" s="105">
        <f>T369*F369</f>
        <v>0</v>
      </c>
      <c r="V369" s="106"/>
      <c r="W369" s="301">
        <v>325</v>
      </c>
      <c r="Y369" s="567">
        <v>12</v>
      </c>
      <c r="Z369" s="189"/>
      <c r="AA369" s="541" t="s">
        <v>123</v>
      </c>
      <c r="AB369" s="537">
        <v>44193</v>
      </c>
      <c r="AC369" s="537">
        <v>46018</v>
      </c>
      <c r="AD369" s="769" t="s">
        <v>124</v>
      </c>
      <c r="AE369" s="718"/>
      <c r="AF369" s="700" t="s">
        <v>823</v>
      </c>
      <c r="AG369" s="700" t="s">
        <v>1490</v>
      </c>
      <c r="AH369" s="547" t="s">
        <v>2009</v>
      </c>
      <c r="AI369" s="478"/>
      <c r="AJ369" s="189"/>
      <c r="AK369" s="568">
        <v>3401110001</v>
      </c>
      <c r="AM369" s="610" t="s">
        <v>2016</v>
      </c>
      <c r="AN369" s="611" t="s">
        <v>2017</v>
      </c>
      <c r="AO369" s="629" t="s">
        <v>2012</v>
      </c>
      <c r="AP369" s="616" t="s">
        <v>2018</v>
      </c>
      <c r="AQ369" s="609" t="s">
        <v>2019</v>
      </c>
      <c r="AR369" s="634"/>
      <c r="AS369" s="635"/>
      <c r="AU369" s="189"/>
      <c r="AV369" s="189"/>
      <c r="AW369" s="189"/>
      <c r="AX369" s="521">
        <f>38*81*81/1000000000</f>
        <v>2.49318E-4</v>
      </c>
      <c r="AY369" s="507"/>
      <c r="AZ369" s="189"/>
      <c r="BA369" s="189"/>
      <c r="BB369" s="189"/>
      <c r="BC369" s="517"/>
      <c r="BD369" s="189" t="s">
        <v>315</v>
      </c>
      <c r="BF369" s="445"/>
    </row>
    <row r="370" spans="1:58" ht="13.5" customHeight="1">
      <c r="A370" s="354">
        <v>4627101823824</v>
      </c>
      <c r="B370" s="100">
        <v>1894</v>
      </c>
      <c r="C370" s="253" t="s">
        <v>2020</v>
      </c>
      <c r="D370" s="830"/>
      <c r="E370" s="101" t="s">
        <v>2008</v>
      </c>
      <c r="F370" s="249"/>
      <c r="G370" s="240"/>
      <c r="H370" s="240"/>
      <c r="I370" s="238"/>
      <c r="J370" s="367">
        <v>170</v>
      </c>
      <c r="K370" s="104">
        <f t="shared" si="286"/>
        <v>0</v>
      </c>
      <c r="L370" s="238">
        <f t="shared" si="291"/>
        <v>178.5</v>
      </c>
      <c r="M370" s="104">
        <f t="shared" si="287"/>
        <v>0</v>
      </c>
      <c r="N370" s="238">
        <f t="shared" si="292"/>
        <v>187</v>
      </c>
      <c r="O370" s="104">
        <f t="shared" si="288"/>
        <v>0</v>
      </c>
      <c r="P370" s="238">
        <f t="shared" si="293"/>
        <v>195.5</v>
      </c>
      <c r="Q370" s="104">
        <f t="shared" si="289"/>
        <v>0</v>
      </c>
      <c r="R370" s="238">
        <f t="shared" si="294"/>
        <v>212.5</v>
      </c>
      <c r="S370" s="104">
        <f t="shared" si="290"/>
        <v>0</v>
      </c>
      <c r="T370" s="105">
        <v>135</v>
      </c>
      <c r="U370" s="105">
        <f>T370*F370</f>
        <v>0</v>
      </c>
      <c r="V370" s="106"/>
      <c r="W370" s="301">
        <v>325</v>
      </c>
      <c r="Y370" s="567">
        <v>12</v>
      </c>
      <c r="Z370" s="189"/>
      <c r="AA370" s="541" t="s">
        <v>123</v>
      </c>
      <c r="AB370" s="537">
        <v>44193</v>
      </c>
      <c r="AC370" s="537">
        <v>46018</v>
      </c>
      <c r="AD370" s="769" t="s">
        <v>124</v>
      </c>
      <c r="AE370" s="718"/>
      <c r="AF370" s="700" t="s">
        <v>1313</v>
      </c>
      <c r="AG370" s="700" t="s">
        <v>1406</v>
      </c>
      <c r="AH370" s="547" t="s">
        <v>2009</v>
      </c>
      <c r="AI370" s="478"/>
      <c r="AJ370" s="189"/>
      <c r="AK370" s="568">
        <v>3401110001</v>
      </c>
      <c r="AM370" s="610" t="s">
        <v>2021</v>
      </c>
      <c r="AN370" s="611" t="s">
        <v>2022</v>
      </c>
      <c r="AO370" s="629" t="s">
        <v>2012</v>
      </c>
      <c r="AP370" s="616" t="s">
        <v>2023</v>
      </c>
      <c r="AQ370" s="637" t="s">
        <v>2024</v>
      </c>
      <c r="AR370" s="634"/>
      <c r="AS370" s="635"/>
      <c r="AU370" s="189"/>
      <c r="AV370" s="189"/>
      <c r="AW370" s="189"/>
      <c r="AX370" s="521">
        <f>38*81*81/1000000000</f>
        <v>2.49318E-4</v>
      </c>
      <c r="AY370" s="507"/>
      <c r="AZ370" s="189"/>
      <c r="BA370" s="189"/>
      <c r="BB370" s="189"/>
      <c r="BC370" s="517"/>
      <c r="BD370" s="189" t="s">
        <v>315</v>
      </c>
      <c r="BF370" s="445"/>
    </row>
    <row r="371" spans="1:58" ht="15.75" customHeight="1">
      <c r="A371" s="354">
        <v>4627101828003</v>
      </c>
      <c r="B371" s="100">
        <v>2555</v>
      </c>
      <c r="C371" s="253" t="s">
        <v>2025</v>
      </c>
      <c r="D371" s="830"/>
      <c r="E371" s="101" t="s">
        <v>2026</v>
      </c>
      <c r="F371" s="249"/>
      <c r="G371" s="240"/>
      <c r="H371" s="240"/>
      <c r="I371" s="238"/>
      <c r="J371" s="367">
        <v>155</v>
      </c>
      <c r="K371" s="104">
        <f t="shared" si="286"/>
        <v>0</v>
      </c>
      <c r="L371" s="238">
        <f t="shared" si="291"/>
        <v>162.75</v>
      </c>
      <c r="M371" s="104">
        <f t="shared" si="287"/>
        <v>0</v>
      </c>
      <c r="N371" s="238">
        <f t="shared" si="292"/>
        <v>170.5</v>
      </c>
      <c r="O371" s="104">
        <f t="shared" si="288"/>
        <v>0</v>
      </c>
      <c r="P371" s="238">
        <f t="shared" si="293"/>
        <v>178.25</v>
      </c>
      <c r="Q371" s="104">
        <f t="shared" si="289"/>
        <v>0</v>
      </c>
      <c r="R371" s="238">
        <f t="shared" si="294"/>
        <v>193.75</v>
      </c>
      <c r="S371" s="104">
        <f t="shared" si="290"/>
        <v>0</v>
      </c>
      <c r="T371" s="105">
        <v>140</v>
      </c>
      <c r="U371" s="105">
        <f>+U372+U373</f>
        <v>0</v>
      </c>
      <c r="V371" s="106"/>
      <c r="W371" s="301">
        <v>295</v>
      </c>
      <c r="Y371" s="567">
        <v>12</v>
      </c>
      <c r="Z371" s="189"/>
      <c r="AA371" s="541" t="s">
        <v>123</v>
      </c>
      <c r="AB371" s="537">
        <v>44193</v>
      </c>
      <c r="AC371" s="537">
        <v>46018</v>
      </c>
      <c r="AD371" s="769" t="s">
        <v>124</v>
      </c>
      <c r="AE371" s="718"/>
      <c r="AF371" s="700" t="s">
        <v>2027</v>
      </c>
      <c r="AG371" s="700" t="s">
        <v>1406</v>
      </c>
      <c r="AH371" s="547" t="s">
        <v>2028</v>
      </c>
      <c r="AI371" s="478"/>
      <c r="AJ371" s="189"/>
      <c r="AK371" s="568">
        <v>3401110001</v>
      </c>
      <c r="AM371" s="610" t="s">
        <v>2029</v>
      </c>
      <c r="AN371" s="611" t="s">
        <v>2030</v>
      </c>
      <c r="AO371" s="629" t="s">
        <v>2012</v>
      </c>
      <c r="AP371" s="616" t="s">
        <v>2031</v>
      </c>
      <c r="AQ371" s="637" t="s">
        <v>2032</v>
      </c>
      <c r="AR371" s="634"/>
      <c r="AS371" s="635"/>
      <c r="AU371" s="189"/>
      <c r="AV371" s="189"/>
      <c r="AW371" s="189"/>
      <c r="AX371" s="521">
        <f>52*78*78/1000000000</f>
        <v>3.1636799999999998E-4</v>
      </c>
      <c r="AY371" s="507"/>
      <c r="AZ371" s="189"/>
      <c r="BA371" s="189"/>
      <c r="BB371" s="189"/>
      <c r="BC371" s="517"/>
      <c r="BD371" s="189" t="s">
        <v>315</v>
      </c>
      <c r="BF371" s="445"/>
    </row>
    <row r="372" spans="1:58" ht="17.25" customHeight="1">
      <c r="A372" s="354">
        <v>4627101827983</v>
      </c>
      <c r="B372" s="100">
        <v>2620</v>
      </c>
      <c r="C372" s="253" t="s">
        <v>2033</v>
      </c>
      <c r="D372" s="830"/>
      <c r="E372" s="101" t="s">
        <v>2026</v>
      </c>
      <c r="F372" s="249"/>
      <c r="G372" s="240"/>
      <c r="H372" s="240"/>
      <c r="I372" s="238"/>
      <c r="J372" s="367">
        <v>155</v>
      </c>
      <c r="K372" s="104">
        <f t="shared" si="286"/>
        <v>0</v>
      </c>
      <c r="L372" s="238">
        <f t="shared" si="291"/>
        <v>162.75</v>
      </c>
      <c r="M372" s="104">
        <f t="shared" si="287"/>
        <v>0</v>
      </c>
      <c r="N372" s="238">
        <f t="shared" si="292"/>
        <v>170.5</v>
      </c>
      <c r="O372" s="104">
        <f t="shared" si="288"/>
        <v>0</v>
      </c>
      <c r="P372" s="238">
        <f t="shared" si="293"/>
        <v>178.25</v>
      </c>
      <c r="Q372" s="104">
        <f t="shared" si="289"/>
        <v>0</v>
      </c>
      <c r="R372" s="238">
        <f t="shared" si="294"/>
        <v>193.75</v>
      </c>
      <c r="S372" s="104">
        <f t="shared" si="290"/>
        <v>0</v>
      </c>
      <c r="T372" s="105">
        <v>140</v>
      </c>
      <c r="U372" s="105">
        <f>T372*F372</f>
        <v>0</v>
      </c>
      <c r="V372" s="106"/>
      <c r="W372" s="301">
        <v>295</v>
      </c>
      <c r="Y372" s="567">
        <v>12</v>
      </c>
      <c r="Z372" s="189"/>
      <c r="AA372" s="541" t="s">
        <v>123</v>
      </c>
      <c r="AB372" s="537">
        <v>44193</v>
      </c>
      <c r="AC372" s="537">
        <v>46018</v>
      </c>
      <c r="AD372" s="769" t="s">
        <v>124</v>
      </c>
      <c r="AE372" s="718"/>
      <c r="AF372" s="700" t="s">
        <v>1681</v>
      </c>
      <c r="AG372" s="700" t="s">
        <v>1974</v>
      </c>
      <c r="AH372" s="547" t="s">
        <v>2028</v>
      </c>
      <c r="AI372" s="478"/>
      <c r="AJ372" s="189"/>
      <c r="AK372" s="568">
        <v>3401110001</v>
      </c>
      <c r="AM372" s="610" t="s">
        <v>2034</v>
      </c>
      <c r="AN372" s="611" t="s">
        <v>2035</v>
      </c>
      <c r="AO372" s="629" t="s">
        <v>2012</v>
      </c>
      <c r="AP372" s="616" t="s">
        <v>2036</v>
      </c>
      <c r="AQ372" s="637" t="s">
        <v>2037</v>
      </c>
      <c r="AR372" s="634"/>
      <c r="AS372" s="635"/>
      <c r="AU372" s="189"/>
      <c r="AV372" s="189"/>
      <c r="AW372" s="189"/>
      <c r="AX372" s="521">
        <f>52*78*78/1000000000</f>
        <v>3.1636799999999998E-4</v>
      </c>
      <c r="AY372" s="507"/>
      <c r="AZ372" s="189"/>
      <c r="BA372" s="189"/>
      <c r="BB372" s="189"/>
      <c r="BC372" s="517"/>
      <c r="BD372" s="189" t="s">
        <v>315</v>
      </c>
      <c r="BF372" s="445"/>
    </row>
    <row r="373" spans="1:58" ht="16.5" customHeight="1">
      <c r="A373" s="354">
        <v>4627101828027</v>
      </c>
      <c r="B373" s="100">
        <v>2621</v>
      </c>
      <c r="C373" s="253" t="s">
        <v>2038</v>
      </c>
      <c r="D373" s="830"/>
      <c r="E373" s="101" t="s">
        <v>2026</v>
      </c>
      <c r="F373" s="249"/>
      <c r="G373" s="240"/>
      <c r="H373" s="240"/>
      <c r="I373" s="238"/>
      <c r="J373" s="367">
        <v>155</v>
      </c>
      <c r="K373" s="104">
        <f t="shared" si="286"/>
        <v>0</v>
      </c>
      <c r="L373" s="238">
        <f t="shared" si="291"/>
        <v>162.75</v>
      </c>
      <c r="M373" s="104">
        <f t="shared" si="287"/>
        <v>0</v>
      </c>
      <c r="N373" s="238">
        <f t="shared" si="292"/>
        <v>170.5</v>
      </c>
      <c r="O373" s="104">
        <f t="shared" si="288"/>
        <v>0</v>
      </c>
      <c r="P373" s="238">
        <f t="shared" si="293"/>
        <v>178.25</v>
      </c>
      <c r="Q373" s="104">
        <f t="shared" si="289"/>
        <v>0</v>
      </c>
      <c r="R373" s="238">
        <f t="shared" si="294"/>
        <v>193.75</v>
      </c>
      <c r="S373" s="104">
        <f t="shared" si="290"/>
        <v>0</v>
      </c>
      <c r="T373" s="105">
        <v>140</v>
      </c>
      <c r="U373" s="105">
        <f>T373*F373</f>
        <v>0</v>
      </c>
      <c r="V373" s="106"/>
      <c r="W373" s="301">
        <v>295</v>
      </c>
      <c r="Y373" s="567">
        <v>12</v>
      </c>
      <c r="Z373" s="189"/>
      <c r="AA373" s="541" t="s">
        <v>123</v>
      </c>
      <c r="AB373" s="537">
        <v>44193</v>
      </c>
      <c r="AC373" s="537">
        <v>46018</v>
      </c>
      <c r="AD373" s="769" t="s">
        <v>124</v>
      </c>
      <c r="AE373" s="718"/>
      <c r="AF373" s="700" t="s">
        <v>2039</v>
      </c>
      <c r="AG373" s="700" t="s">
        <v>2040</v>
      </c>
      <c r="AH373" s="547" t="s">
        <v>2028</v>
      </c>
      <c r="AI373" s="478"/>
      <c r="AJ373" s="189"/>
      <c r="AK373" s="568">
        <v>3401110001</v>
      </c>
      <c r="AM373" s="610" t="s">
        <v>2041</v>
      </c>
      <c r="AN373" s="611" t="s">
        <v>2042</v>
      </c>
      <c r="AO373" s="629" t="s">
        <v>2012</v>
      </c>
      <c r="AP373" s="616" t="s">
        <v>2043</v>
      </c>
      <c r="AQ373" s="637" t="s">
        <v>2044</v>
      </c>
      <c r="AR373" s="634"/>
      <c r="AS373" s="635"/>
      <c r="AU373" s="189"/>
      <c r="AV373" s="189"/>
      <c r="AW373" s="189"/>
      <c r="AX373" s="521">
        <f>52*78*78/1000000000</f>
        <v>3.1636799999999998E-4</v>
      </c>
      <c r="AY373" s="507"/>
      <c r="AZ373" s="189"/>
      <c r="BA373" s="189"/>
      <c r="BB373" s="189"/>
      <c r="BC373" s="517"/>
      <c r="BD373" s="189" t="s">
        <v>315</v>
      </c>
      <c r="BF373" s="445"/>
    </row>
    <row r="374" spans="1:58" s="3" customFormat="1" ht="21.75" customHeight="1">
      <c r="A374" s="485" t="s">
        <v>156</v>
      </c>
      <c r="B374" s="274"/>
      <c r="C374" s="271" t="s">
        <v>2045</v>
      </c>
      <c r="D374" s="827"/>
      <c r="E374" s="270"/>
      <c r="F374" s="491"/>
      <c r="G374" s="289"/>
      <c r="H374" s="289"/>
      <c r="I374" s="356"/>
      <c r="J374" s="357"/>
      <c r="K374" s="488">
        <f>K375+K376+K377+K378+K379+K380+K381</f>
        <v>0</v>
      </c>
      <c r="L374" s="489"/>
      <c r="M374" s="488">
        <f>M375+M376+M377+M378+M379+M380+M381</f>
        <v>0</v>
      </c>
      <c r="N374" s="489"/>
      <c r="O374" s="488">
        <f>O375+O376+O377+O378+O379+O380+O381</f>
        <v>0</v>
      </c>
      <c r="P374" s="489"/>
      <c r="Q374" s="488">
        <f>Q375+Q376+Q377+Q378+Q379+Q380+Q381</f>
        <v>0</v>
      </c>
      <c r="R374" s="489"/>
      <c r="S374" s="488">
        <f>S375+S376+S377+S378+S379+S380+S381</f>
        <v>0</v>
      </c>
      <c r="T374" s="313"/>
      <c r="U374" s="313">
        <f>SUM(U380:U392)</f>
        <v>0</v>
      </c>
      <c r="V374" s="293"/>
      <c r="W374" s="293"/>
      <c r="X374" s="446"/>
      <c r="Y374" s="562"/>
      <c r="Z374" s="293"/>
      <c r="AA374" s="772"/>
      <c r="AB374" s="543"/>
      <c r="AC374" s="543"/>
      <c r="AD374" s="716"/>
      <c r="AE374" s="716"/>
      <c r="AF374" s="701"/>
      <c r="AG374" s="701"/>
      <c r="AH374" s="546"/>
      <c r="AI374" s="675"/>
      <c r="AJ374" s="293"/>
      <c r="AK374" s="563"/>
      <c r="AL374" s="554"/>
      <c r="AM374" s="562"/>
      <c r="AN374" s="293"/>
      <c r="AO374" s="293"/>
      <c r="AP374" s="293"/>
      <c r="AQ374" s="293"/>
      <c r="AR374" s="293"/>
      <c r="AS374" s="563"/>
      <c r="AU374" s="293"/>
      <c r="AV374" s="293"/>
      <c r="AW374" s="293"/>
      <c r="AX374" s="293"/>
      <c r="AY374" s="293"/>
      <c r="AZ374" s="293"/>
      <c r="BA374" s="293"/>
      <c r="BB374" s="293"/>
      <c r="BC374" s="293"/>
      <c r="BD374" s="293"/>
      <c r="BF374" s="447"/>
    </row>
    <row r="375" spans="1:58" s="446" customFormat="1" ht="17.25" customHeight="1">
      <c r="A375" s="755" t="s">
        <v>2046</v>
      </c>
      <c r="B375" s="324">
        <v>4213</v>
      </c>
      <c r="C375" s="355" t="s">
        <v>2047</v>
      </c>
      <c r="D375" s="826"/>
      <c r="E375" s="281"/>
      <c r="F375" s="326"/>
      <c r="G375" s="348"/>
      <c r="H375" s="348"/>
      <c r="I375" s="245"/>
      <c r="J375" s="267">
        <v>240</v>
      </c>
      <c r="K375" s="246">
        <f>J375*F375</f>
        <v>0</v>
      </c>
      <c r="L375" s="267">
        <v>252</v>
      </c>
      <c r="M375" s="246">
        <f>L375*F375</f>
        <v>0</v>
      </c>
      <c r="N375" s="267">
        <v>264</v>
      </c>
      <c r="O375" s="246">
        <f>N375*F375</f>
        <v>0</v>
      </c>
      <c r="P375" s="267">
        <v>276</v>
      </c>
      <c r="Q375" s="246">
        <f>P375*F375</f>
        <v>0</v>
      </c>
      <c r="R375" s="267">
        <v>300</v>
      </c>
      <c r="S375" s="246">
        <f>R375*F375</f>
        <v>0</v>
      </c>
      <c r="T375" s="242">
        <v>295</v>
      </c>
      <c r="U375" s="242"/>
      <c r="V375" s="243"/>
      <c r="W375" s="301">
        <v>455</v>
      </c>
      <c r="Y375" s="567">
        <v>18</v>
      </c>
      <c r="Z375" s="189">
        <v>6</v>
      </c>
      <c r="AA375" s="541" t="s">
        <v>65</v>
      </c>
      <c r="AB375" s="537">
        <v>45086</v>
      </c>
      <c r="AC375" s="537">
        <v>47642</v>
      </c>
      <c r="AD375" s="852" t="s">
        <v>2048</v>
      </c>
      <c r="AE375" s="751" t="s">
        <v>67</v>
      </c>
      <c r="AF375" s="752"/>
      <c r="AG375" s="752"/>
      <c r="AH375" s="547" t="s">
        <v>2049</v>
      </c>
      <c r="AI375" s="846" t="s">
        <v>2050</v>
      </c>
      <c r="AJ375" s="847" t="s">
        <v>2051</v>
      </c>
      <c r="AK375" s="568">
        <v>3401300000</v>
      </c>
      <c r="AL375" s="554"/>
      <c r="AM375" s="750"/>
      <c r="AN375" s="243"/>
      <c r="AO375" s="243"/>
      <c r="AP375" s="243"/>
      <c r="AQ375" s="243"/>
      <c r="AR375" s="243"/>
      <c r="AS375" s="753"/>
      <c r="AU375" s="243"/>
      <c r="AV375" s="243"/>
      <c r="AW375" s="243"/>
      <c r="AX375" s="243"/>
      <c r="AY375" s="243"/>
      <c r="AZ375" s="243"/>
      <c r="BA375" s="243"/>
      <c r="BB375" s="243"/>
      <c r="BC375" s="243"/>
      <c r="BD375" s="243"/>
      <c r="BF375" s="754"/>
    </row>
    <row r="376" spans="1:58" s="3" customFormat="1" ht="18" customHeight="1">
      <c r="A376" s="331">
        <v>4627101828546</v>
      </c>
      <c r="B376" s="329">
        <v>2745</v>
      </c>
      <c r="C376" s="355" t="s">
        <v>2052</v>
      </c>
      <c r="D376" s="826"/>
      <c r="E376" s="219" t="s">
        <v>585</v>
      </c>
      <c r="F376" s="248"/>
      <c r="G376" s="111"/>
      <c r="H376" s="111"/>
      <c r="I376" s="239"/>
      <c r="J376" s="238">
        <v>240</v>
      </c>
      <c r="K376" s="104">
        <f>J376*F376</f>
        <v>0</v>
      </c>
      <c r="L376" s="238">
        <f>J376+J376*5%</f>
        <v>252</v>
      </c>
      <c r="M376" s="104">
        <f>F376*L376</f>
        <v>0</v>
      </c>
      <c r="N376" s="238">
        <f>J376+J376*10%</f>
        <v>264</v>
      </c>
      <c r="O376" s="104">
        <f>F376*N376</f>
        <v>0</v>
      </c>
      <c r="P376" s="238">
        <f>J376+J376*15%</f>
        <v>276</v>
      </c>
      <c r="Q376" s="104">
        <f>F376*P376</f>
        <v>0</v>
      </c>
      <c r="R376" s="238">
        <f>J376+J376*25%</f>
        <v>300</v>
      </c>
      <c r="S376" s="104">
        <f>F376*R376</f>
        <v>0</v>
      </c>
      <c r="T376" s="105">
        <v>295</v>
      </c>
      <c r="U376" s="105">
        <f>F376*T376</f>
        <v>0</v>
      </c>
      <c r="V376" s="106"/>
      <c r="W376" s="301">
        <v>455</v>
      </c>
      <c r="X376" s="446"/>
      <c r="Y376" s="567">
        <v>18</v>
      </c>
      <c r="Z376" s="189">
        <v>6</v>
      </c>
      <c r="AA376" s="541" t="s">
        <v>65</v>
      </c>
      <c r="AB376" s="537">
        <v>45086</v>
      </c>
      <c r="AC376" s="537">
        <v>47642</v>
      </c>
      <c r="AD376" s="717" t="s">
        <v>2053</v>
      </c>
      <c r="AE376" s="751" t="s">
        <v>67</v>
      </c>
      <c r="AF376" s="700"/>
      <c r="AG376" s="700"/>
      <c r="AH376" s="547" t="s">
        <v>2049</v>
      </c>
      <c r="AI376" s="846" t="s">
        <v>2050</v>
      </c>
      <c r="AJ376" s="847" t="s">
        <v>2051</v>
      </c>
      <c r="AK376" s="568">
        <v>3401300000</v>
      </c>
      <c r="AL376" s="551"/>
      <c r="AM376" s="630" t="s">
        <v>2054</v>
      </c>
      <c r="AN376" s="631" t="s">
        <v>2055</v>
      </c>
      <c r="AO376" s="631" t="s">
        <v>2056</v>
      </c>
      <c r="AP376" s="616" t="s">
        <v>2057</v>
      </c>
      <c r="AQ376" s="617" t="s">
        <v>2058</v>
      </c>
      <c r="AR376" s="621"/>
      <c r="AS376" s="618"/>
      <c r="AU376" s="189"/>
      <c r="AV376" s="189"/>
      <c r="AW376" s="189"/>
      <c r="AX376" s="512">
        <f t="shared" ref="AX376:AX379" si="295">179*49*49/1000000000</f>
        <v>4.2977899999999998E-4</v>
      </c>
      <c r="AY376" s="507" t="e">
        <f>AX376*#REF!</f>
        <v>#REF!</v>
      </c>
      <c r="AZ376" s="189"/>
      <c r="BA376" s="189"/>
      <c r="BB376" s="189"/>
      <c r="BC376" s="189"/>
      <c r="BD376" s="189" t="s">
        <v>264</v>
      </c>
      <c r="BF376" s="447"/>
    </row>
    <row r="377" spans="1:58" s="3" customFormat="1" ht="18" customHeight="1">
      <c r="A377" s="331">
        <v>4627101828522</v>
      </c>
      <c r="B377" s="329">
        <v>2743</v>
      </c>
      <c r="C377" s="355" t="s">
        <v>2059</v>
      </c>
      <c r="D377" s="826"/>
      <c r="E377" s="219" t="s">
        <v>585</v>
      </c>
      <c r="F377" s="248"/>
      <c r="G377" s="111"/>
      <c r="H377" s="111"/>
      <c r="I377" s="239"/>
      <c r="J377" s="238">
        <v>240</v>
      </c>
      <c r="K377" s="104">
        <f t="shared" ref="K377:K381" si="296">J377*F377</f>
        <v>0</v>
      </c>
      <c r="L377" s="238">
        <f t="shared" ref="L377:L381" si="297">J377+J377*5%</f>
        <v>252</v>
      </c>
      <c r="M377" s="104">
        <f>L377*F377</f>
        <v>0</v>
      </c>
      <c r="N377" s="238">
        <f t="shared" ref="N377:N381" si="298">J377+J377*10%</f>
        <v>264</v>
      </c>
      <c r="O377" s="104">
        <f>N377*F377</f>
        <v>0</v>
      </c>
      <c r="P377" s="238">
        <f t="shared" ref="P377:P381" si="299">J377+J377*15%</f>
        <v>276</v>
      </c>
      <c r="Q377" s="104">
        <f>P377*F377</f>
        <v>0</v>
      </c>
      <c r="R377" s="238">
        <f t="shared" ref="R377:R381" si="300">J377+J377*25%</f>
        <v>300</v>
      </c>
      <c r="S377" s="104">
        <f>R377*F377</f>
        <v>0</v>
      </c>
      <c r="T377" s="105">
        <v>295</v>
      </c>
      <c r="U377" s="105">
        <f t="shared" ref="U377:U381" si="301">T377*F377</f>
        <v>0</v>
      </c>
      <c r="V377" s="106"/>
      <c r="W377" s="301">
        <v>455</v>
      </c>
      <c r="X377" s="446"/>
      <c r="Y377" s="567">
        <v>18</v>
      </c>
      <c r="Z377" s="189">
        <v>6</v>
      </c>
      <c r="AA377" s="541" t="s">
        <v>65</v>
      </c>
      <c r="AB377" s="537">
        <v>45086</v>
      </c>
      <c r="AC377" s="537">
        <v>47642</v>
      </c>
      <c r="AD377" s="717" t="s">
        <v>66</v>
      </c>
      <c r="AE377" s="751" t="s">
        <v>67</v>
      </c>
      <c r="AF377" s="700"/>
      <c r="AG377" s="700"/>
      <c r="AH377" s="547" t="s">
        <v>2049</v>
      </c>
      <c r="AI377" s="846" t="s">
        <v>2050</v>
      </c>
      <c r="AJ377" s="847" t="s">
        <v>2051</v>
      </c>
      <c r="AK377" s="568">
        <v>3401300000</v>
      </c>
      <c r="AL377" s="551"/>
      <c r="AM377" s="630" t="s">
        <v>2060</v>
      </c>
      <c r="AN377" s="631" t="s">
        <v>2061</v>
      </c>
      <c r="AO377" s="631" t="s">
        <v>2056</v>
      </c>
      <c r="AP377" s="616" t="s">
        <v>2062</v>
      </c>
      <c r="AQ377" s="617" t="s">
        <v>2063</v>
      </c>
      <c r="AR377" s="621"/>
      <c r="AS377" s="618"/>
      <c r="AU377" s="189"/>
      <c r="AV377" s="189"/>
      <c r="AW377" s="189"/>
      <c r="AX377" s="512">
        <f t="shared" si="295"/>
        <v>4.2977899999999998E-4</v>
      </c>
      <c r="AY377" s="507" t="e">
        <f>AX377*#REF!</f>
        <v>#REF!</v>
      </c>
      <c r="AZ377" s="189"/>
      <c r="BA377" s="189"/>
      <c r="BB377" s="189"/>
      <c r="BC377" s="189"/>
      <c r="BD377" s="189" t="s">
        <v>264</v>
      </c>
      <c r="BF377" s="447"/>
    </row>
    <row r="378" spans="1:58" s="3" customFormat="1" ht="18" customHeight="1">
      <c r="A378" s="331">
        <v>4627101828508</v>
      </c>
      <c r="B378" s="329">
        <v>2744</v>
      </c>
      <c r="C378" s="355" t="s">
        <v>2064</v>
      </c>
      <c r="D378" s="826"/>
      <c r="E378" s="219" t="s">
        <v>585</v>
      </c>
      <c r="F378" s="248"/>
      <c r="G378" s="111"/>
      <c r="H378" s="111"/>
      <c r="I378" s="239"/>
      <c r="J378" s="238">
        <v>240</v>
      </c>
      <c r="K378" s="104">
        <f t="shared" si="296"/>
        <v>0</v>
      </c>
      <c r="L378" s="238">
        <f t="shared" si="297"/>
        <v>252</v>
      </c>
      <c r="M378" s="104">
        <f>L378*F378</f>
        <v>0</v>
      </c>
      <c r="N378" s="238">
        <f t="shared" si="298"/>
        <v>264</v>
      </c>
      <c r="O378" s="104">
        <f>N378*F378</f>
        <v>0</v>
      </c>
      <c r="P378" s="238">
        <f t="shared" si="299"/>
        <v>276</v>
      </c>
      <c r="Q378" s="104">
        <f>P378*F378</f>
        <v>0</v>
      </c>
      <c r="R378" s="238">
        <f t="shared" si="300"/>
        <v>300</v>
      </c>
      <c r="S378" s="104">
        <f>R378*F378</f>
        <v>0</v>
      </c>
      <c r="T378" s="105">
        <v>295</v>
      </c>
      <c r="U378" s="105">
        <f t="shared" si="301"/>
        <v>0</v>
      </c>
      <c r="V378" s="106"/>
      <c r="W378" s="301">
        <v>455</v>
      </c>
      <c r="X378" s="446"/>
      <c r="Y378" s="567">
        <v>18</v>
      </c>
      <c r="Z378" s="189">
        <v>6</v>
      </c>
      <c r="AA378" s="541" t="s">
        <v>65</v>
      </c>
      <c r="AB378" s="537">
        <v>45086</v>
      </c>
      <c r="AC378" s="537">
        <v>47642</v>
      </c>
      <c r="AD378" s="717" t="s">
        <v>2065</v>
      </c>
      <c r="AE378" s="751" t="s">
        <v>67</v>
      </c>
      <c r="AF378" s="700"/>
      <c r="AG378" s="700"/>
      <c r="AH378" s="547" t="s">
        <v>2049</v>
      </c>
      <c r="AI378" s="846" t="s">
        <v>2050</v>
      </c>
      <c r="AJ378" s="847" t="s">
        <v>2051</v>
      </c>
      <c r="AK378" s="568">
        <v>3401300000</v>
      </c>
      <c r="AL378" s="551"/>
      <c r="AM378" s="630" t="s">
        <v>2066</v>
      </c>
      <c r="AN378" s="631" t="s">
        <v>2067</v>
      </c>
      <c r="AO378" s="631" t="s">
        <v>2056</v>
      </c>
      <c r="AP378" s="616" t="s">
        <v>2068</v>
      </c>
      <c r="AQ378" s="617" t="s">
        <v>2069</v>
      </c>
      <c r="AR378" s="621"/>
      <c r="AS378" s="618"/>
      <c r="AU378" s="189"/>
      <c r="AV378" s="189"/>
      <c r="AW378" s="189"/>
      <c r="AX378" s="512">
        <f t="shared" si="295"/>
        <v>4.2977899999999998E-4</v>
      </c>
      <c r="AY378" s="507" t="e">
        <f>AX378*#REF!</f>
        <v>#REF!</v>
      </c>
      <c r="AZ378" s="189"/>
      <c r="BA378" s="189"/>
      <c r="BB378" s="189"/>
      <c r="BC378" s="189"/>
      <c r="BD378" s="189" t="s">
        <v>264</v>
      </c>
      <c r="BF378" s="447"/>
    </row>
    <row r="379" spans="1:58" s="3" customFormat="1" ht="18" customHeight="1">
      <c r="A379" s="331">
        <v>4627101828560</v>
      </c>
      <c r="B379" s="329">
        <v>2747</v>
      </c>
      <c r="C379" s="355" t="s">
        <v>2070</v>
      </c>
      <c r="D379" s="826"/>
      <c r="E379" s="219" t="s">
        <v>585</v>
      </c>
      <c r="F379" s="248"/>
      <c r="G379" s="111"/>
      <c r="H379" s="111"/>
      <c r="I379" s="239"/>
      <c r="J379" s="238">
        <v>240</v>
      </c>
      <c r="K379" s="104">
        <f t="shared" si="296"/>
        <v>0</v>
      </c>
      <c r="L379" s="238">
        <f t="shared" si="297"/>
        <v>252</v>
      </c>
      <c r="M379" s="104">
        <f>L379*F379</f>
        <v>0</v>
      </c>
      <c r="N379" s="238">
        <f t="shared" si="298"/>
        <v>264</v>
      </c>
      <c r="O379" s="104">
        <f>N379*F379</f>
        <v>0</v>
      </c>
      <c r="P379" s="238">
        <f t="shared" si="299"/>
        <v>276</v>
      </c>
      <c r="Q379" s="104">
        <f>P379*F379</f>
        <v>0</v>
      </c>
      <c r="R379" s="238">
        <f t="shared" si="300"/>
        <v>300</v>
      </c>
      <c r="S379" s="104">
        <f>R379*F379</f>
        <v>0</v>
      </c>
      <c r="T379" s="105">
        <v>295</v>
      </c>
      <c r="U379" s="105">
        <f t="shared" si="301"/>
        <v>0</v>
      </c>
      <c r="V379" s="106"/>
      <c r="W379" s="301">
        <v>455</v>
      </c>
      <c r="X379" s="446"/>
      <c r="Y379" s="567">
        <v>18</v>
      </c>
      <c r="Z379" s="189">
        <v>6</v>
      </c>
      <c r="AA379" s="541" t="s">
        <v>65</v>
      </c>
      <c r="AB379" s="537">
        <v>45086</v>
      </c>
      <c r="AC379" s="537">
        <v>47642</v>
      </c>
      <c r="AD379" s="717" t="s">
        <v>2071</v>
      </c>
      <c r="AE379" s="751" t="s">
        <v>67</v>
      </c>
      <c r="AF379" s="700"/>
      <c r="AG379" s="700"/>
      <c r="AH379" s="547" t="s">
        <v>2049</v>
      </c>
      <c r="AI379" s="846" t="s">
        <v>2050</v>
      </c>
      <c r="AJ379" s="847" t="s">
        <v>2051</v>
      </c>
      <c r="AK379" s="568">
        <v>3401300000</v>
      </c>
      <c r="AL379" s="551"/>
      <c r="AM379" s="630" t="s">
        <v>2072</v>
      </c>
      <c r="AN379" s="631" t="s">
        <v>2073</v>
      </c>
      <c r="AO379" s="631" t="s">
        <v>2056</v>
      </c>
      <c r="AP379" s="616" t="s">
        <v>2074</v>
      </c>
      <c r="AQ379" s="617" t="s">
        <v>2075</v>
      </c>
      <c r="AR379" s="621"/>
      <c r="AS379" s="618"/>
      <c r="AU379" s="189"/>
      <c r="AV379" s="189"/>
      <c r="AW379" s="189"/>
      <c r="AX379" s="512">
        <f t="shared" si="295"/>
        <v>4.2977899999999998E-4</v>
      </c>
      <c r="AY379" s="507" t="e">
        <f>AX379*#REF!</f>
        <v>#REF!</v>
      </c>
      <c r="AZ379" s="189"/>
      <c r="BA379" s="189"/>
      <c r="BB379" s="189"/>
      <c r="BC379" s="189"/>
      <c r="BD379" s="189" t="s">
        <v>264</v>
      </c>
      <c r="BF379" s="447"/>
    </row>
    <row r="380" spans="1:58" s="3" customFormat="1" ht="18" customHeight="1">
      <c r="A380" s="331">
        <v>4627101828041</v>
      </c>
      <c r="B380" s="329">
        <v>2628</v>
      </c>
      <c r="C380" s="355" t="s">
        <v>2076</v>
      </c>
      <c r="D380" s="826"/>
      <c r="E380" s="219" t="s">
        <v>321</v>
      </c>
      <c r="F380" s="248"/>
      <c r="G380" s="111"/>
      <c r="H380" s="111"/>
      <c r="I380" s="239"/>
      <c r="J380" s="238">
        <v>255</v>
      </c>
      <c r="K380" s="104">
        <f t="shared" si="296"/>
        <v>0</v>
      </c>
      <c r="L380" s="238">
        <f t="shared" si="297"/>
        <v>267.75</v>
      </c>
      <c r="M380" s="104">
        <f>F380*L380</f>
        <v>0</v>
      </c>
      <c r="N380" s="238">
        <f t="shared" si="298"/>
        <v>280.5</v>
      </c>
      <c r="O380" s="104">
        <f>F380*N380</f>
        <v>0</v>
      </c>
      <c r="P380" s="238">
        <f t="shared" si="299"/>
        <v>293.25</v>
      </c>
      <c r="Q380" s="104">
        <f>F380*P380</f>
        <v>0</v>
      </c>
      <c r="R380" s="238">
        <f t="shared" si="300"/>
        <v>318.75</v>
      </c>
      <c r="S380" s="104">
        <f>F380*R380</f>
        <v>0</v>
      </c>
      <c r="T380" s="105">
        <v>210</v>
      </c>
      <c r="U380" s="105">
        <f t="shared" si="301"/>
        <v>0</v>
      </c>
      <c r="V380" s="106"/>
      <c r="W380" s="301">
        <v>480</v>
      </c>
      <c r="X380" s="446"/>
      <c r="Y380" s="567">
        <v>12</v>
      </c>
      <c r="Z380" s="189">
        <v>3</v>
      </c>
      <c r="AA380" s="541" t="s">
        <v>79</v>
      </c>
      <c r="AB380" s="537">
        <v>43945</v>
      </c>
      <c r="AC380" s="537">
        <v>45770</v>
      </c>
      <c r="AD380" s="718" t="s">
        <v>80</v>
      </c>
      <c r="AE380" s="751" t="s">
        <v>67</v>
      </c>
      <c r="AF380" s="700"/>
      <c r="AG380" s="700"/>
      <c r="AH380" s="547" t="s">
        <v>324</v>
      </c>
      <c r="AI380" s="676" t="s">
        <v>1738</v>
      </c>
      <c r="AJ380" s="511" t="s">
        <v>1256</v>
      </c>
      <c r="AK380" s="568">
        <v>3305100000</v>
      </c>
      <c r="AL380" s="551"/>
      <c r="AM380" s="610" t="s">
        <v>2077</v>
      </c>
      <c r="AN380" s="611" t="s">
        <v>2078</v>
      </c>
      <c r="AO380" s="611" t="s">
        <v>2079</v>
      </c>
      <c r="AP380" s="616" t="s">
        <v>2080</v>
      </c>
      <c r="AQ380" s="628" t="s">
        <v>2081</v>
      </c>
      <c r="AR380" s="621"/>
      <c r="AS380" s="618"/>
      <c r="AU380" s="511"/>
      <c r="AV380" s="511"/>
      <c r="AW380" s="511"/>
      <c r="AX380" s="512">
        <f>160*64*36/1000000000</f>
        <v>3.6863999999999999E-4</v>
      </c>
      <c r="AY380" s="507" t="e">
        <f>AX380*#REF!</f>
        <v>#REF!</v>
      </c>
      <c r="AZ380" s="511">
        <v>17</v>
      </c>
      <c r="BA380" s="511">
        <v>13</v>
      </c>
      <c r="BB380" s="511">
        <v>21</v>
      </c>
      <c r="BC380" s="189"/>
      <c r="BD380" s="189" t="s">
        <v>315</v>
      </c>
      <c r="BF380" s="447"/>
    </row>
    <row r="381" spans="1:58" s="3" customFormat="1" ht="17.25" customHeight="1">
      <c r="A381" s="331">
        <v>4627101829284</v>
      </c>
      <c r="B381" s="329">
        <v>3031</v>
      </c>
      <c r="C381" s="355" t="s">
        <v>2082</v>
      </c>
      <c r="D381" s="826"/>
      <c r="E381" s="219" t="s">
        <v>321</v>
      </c>
      <c r="F381" s="466"/>
      <c r="G381" s="111"/>
      <c r="H381" s="111"/>
      <c r="I381" s="239"/>
      <c r="J381" s="238">
        <v>255</v>
      </c>
      <c r="K381" s="104">
        <f t="shared" si="296"/>
        <v>0</v>
      </c>
      <c r="L381" s="238">
        <f t="shared" si="297"/>
        <v>267.75</v>
      </c>
      <c r="M381" s="104">
        <f>F381*L381</f>
        <v>0</v>
      </c>
      <c r="N381" s="238">
        <f t="shared" si="298"/>
        <v>280.5</v>
      </c>
      <c r="O381" s="104">
        <f>F381*N381</f>
        <v>0</v>
      </c>
      <c r="P381" s="238">
        <f t="shared" si="299"/>
        <v>293.25</v>
      </c>
      <c r="Q381" s="104">
        <f>F381*P381</f>
        <v>0</v>
      </c>
      <c r="R381" s="238">
        <f t="shared" si="300"/>
        <v>318.75</v>
      </c>
      <c r="S381" s="104">
        <f>F381*R381</f>
        <v>0</v>
      </c>
      <c r="T381" s="105">
        <v>210</v>
      </c>
      <c r="U381" s="105">
        <f t="shared" si="301"/>
        <v>0</v>
      </c>
      <c r="V381" s="106"/>
      <c r="W381" s="301">
        <v>480</v>
      </c>
      <c r="X381" s="446"/>
      <c r="Y381" s="567">
        <v>12</v>
      </c>
      <c r="Z381" s="189">
        <v>3</v>
      </c>
      <c r="AA381" s="541" t="s">
        <v>79</v>
      </c>
      <c r="AB381" s="537">
        <v>43945</v>
      </c>
      <c r="AC381" s="537">
        <v>45770</v>
      </c>
      <c r="AD381" s="1009" t="s">
        <v>80</v>
      </c>
      <c r="AE381" s="751" t="s">
        <v>67</v>
      </c>
      <c r="AF381" s="700"/>
      <c r="AG381" s="700"/>
      <c r="AH381" s="547" t="s">
        <v>324</v>
      </c>
      <c r="AI381" s="676" t="s">
        <v>1738</v>
      </c>
      <c r="AJ381" s="511" t="s">
        <v>1256</v>
      </c>
      <c r="AK381" s="568">
        <v>3305100000</v>
      </c>
      <c r="AL381" s="551"/>
      <c r="AM381" s="610" t="s">
        <v>2083</v>
      </c>
      <c r="AN381" s="611" t="s">
        <v>2084</v>
      </c>
      <c r="AO381" s="611" t="s">
        <v>2079</v>
      </c>
      <c r="AP381" s="616" t="s">
        <v>2085</v>
      </c>
      <c r="AQ381" s="628" t="s">
        <v>2086</v>
      </c>
      <c r="AR381" s="621"/>
      <c r="AS381" s="618"/>
      <c r="AU381" s="511"/>
      <c r="AV381" s="511"/>
      <c r="AW381" s="511"/>
      <c r="AX381" s="512">
        <f>160*64*36/1000000000</f>
        <v>3.6863999999999999E-4</v>
      </c>
      <c r="AY381" s="507" t="e">
        <f>AX381*#REF!</f>
        <v>#REF!</v>
      </c>
      <c r="AZ381" s="511">
        <v>17</v>
      </c>
      <c r="BA381" s="511">
        <v>13</v>
      </c>
      <c r="BB381" s="511">
        <v>21</v>
      </c>
      <c r="BC381" s="189"/>
      <c r="BD381" s="189" t="s">
        <v>315</v>
      </c>
      <c r="BF381" s="447"/>
    </row>
    <row r="382" spans="1:58" s="3" customFormat="1" ht="21.75" customHeight="1">
      <c r="A382" s="485" t="s">
        <v>156</v>
      </c>
      <c r="B382" s="274"/>
      <c r="C382" s="271" t="s">
        <v>2087</v>
      </c>
      <c r="D382" s="827"/>
      <c r="E382" s="270"/>
      <c r="F382" s="491"/>
      <c r="G382" s="289"/>
      <c r="H382" s="289"/>
      <c r="I382" s="356"/>
      <c r="J382" s="357"/>
      <c r="K382" s="488">
        <f>K383+K384+K385+K386+K387+K388+K389+K390+K391+K392</f>
        <v>0</v>
      </c>
      <c r="L382" s="489"/>
      <c r="M382" s="488">
        <f>M383+M384+M385+M386+M387+M388+M389+M390+M391+M392</f>
        <v>0</v>
      </c>
      <c r="N382" s="489"/>
      <c r="O382" s="488">
        <f>O383+O384+O385+O386+O387+O388+O389+O390+O391+O392</f>
        <v>0</v>
      </c>
      <c r="P382" s="489"/>
      <c r="Q382" s="488">
        <f>Q383+Q384+Q385+Q386+Q387+Q388+Q389+Q390+Q391+Q392</f>
        <v>0</v>
      </c>
      <c r="R382" s="489"/>
      <c r="S382" s="488">
        <f>S383+S384+S385+S386+S387+S388+S389+S390+S391+S392</f>
        <v>0</v>
      </c>
      <c r="T382" s="313"/>
      <c r="U382" s="313">
        <f>SUM(U387:U392)</f>
        <v>0</v>
      </c>
      <c r="V382" s="293"/>
      <c r="W382" s="293"/>
      <c r="X382" s="446"/>
      <c r="Y382" s="562"/>
      <c r="Z382" s="293"/>
      <c r="AA382" s="772"/>
      <c r="AB382" s="543"/>
      <c r="AC382" s="543"/>
      <c r="AD382" s="716"/>
      <c r="AE382" s="716"/>
      <c r="AF382" s="701"/>
      <c r="AG382" s="701"/>
      <c r="AH382" s="790" t="s">
        <v>2088</v>
      </c>
      <c r="AI382" s="790" t="s">
        <v>2089</v>
      </c>
      <c r="AJ382" s="790" t="s">
        <v>2090</v>
      </c>
      <c r="AK382" s="563"/>
      <c r="AL382" s="554"/>
      <c r="AM382" s="562"/>
      <c r="AN382" s="293"/>
      <c r="AO382" s="293"/>
      <c r="AP382" s="293"/>
      <c r="AQ382" s="293"/>
      <c r="AR382" s="293"/>
      <c r="AS382" s="563"/>
      <c r="AU382" s="293"/>
      <c r="AV382" s="293"/>
      <c r="AW382" s="293"/>
      <c r="AX382" s="293"/>
      <c r="AY382" s="293"/>
      <c r="AZ382" s="293"/>
      <c r="BA382" s="293"/>
      <c r="BB382" s="293"/>
      <c r="BC382" s="293"/>
      <c r="BD382" s="293"/>
      <c r="BF382" s="447"/>
    </row>
    <row r="383" spans="1:58" s="3" customFormat="1" ht="18.75" customHeight="1">
      <c r="A383" s="331">
        <v>4627101828423</v>
      </c>
      <c r="B383" s="329">
        <v>2731</v>
      </c>
      <c r="C383" s="355" t="s">
        <v>2091</v>
      </c>
      <c r="D383" s="826"/>
      <c r="E383" s="219" t="s">
        <v>2092</v>
      </c>
      <c r="F383" s="248"/>
      <c r="G383" s="111"/>
      <c r="H383" s="111"/>
      <c r="I383" s="239"/>
      <c r="J383" s="238">
        <v>265</v>
      </c>
      <c r="K383" s="104">
        <f t="shared" ref="K383:K392" si="302">J383*F383</f>
        <v>0</v>
      </c>
      <c r="L383" s="238">
        <f>J383+J383*5%</f>
        <v>278.25</v>
      </c>
      <c r="M383" s="104">
        <f t="shared" ref="M383:M392" si="303">L383*F383</f>
        <v>0</v>
      </c>
      <c r="N383" s="238">
        <f>J383+J383*10%</f>
        <v>291.5</v>
      </c>
      <c r="O383" s="104">
        <f t="shared" ref="O383:O392" si="304">N383*F383</f>
        <v>0</v>
      </c>
      <c r="P383" s="238">
        <f>J383+J383*15%</f>
        <v>304.75</v>
      </c>
      <c r="Q383" s="104">
        <f t="shared" ref="Q383:Q392" si="305">P383*F383</f>
        <v>0</v>
      </c>
      <c r="R383" s="238">
        <f>J383+J383*25%</f>
        <v>331.25</v>
      </c>
      <c r="S383" s="104">
        <f t="shared" ref="S383:S392" si="306">R383*F383</f>
        <v>0</v>
      </c>
      <c r="T383" s="105">
        <v>245</v>
      </c>
      <c r="U383" s="105">
        <f t="shared" ref="U383:U392" si="307">T383*F383</f>
        <v>0</v>
      </c>
      <c r="V383" s="106"/>
      <c r="W383" s="301">
        <v>500</v>
      </c>
      <c r="X383" s="446"/>
      <c r="Y383" s="567">
        <v>12</v>
      </c>
      <c r="Z383" s="189">
        <v>3</v>
      </c>
      <c r="AA383" s="787" t="s">
        <v>115</v>
      </c>
      <c r="AB383" s="788">
        <v>44910</v>
      </c>
      <c r="AC383" s="788">
        <v>45356</v>
      </c>
      <c r="AD383" s="718" t="s">
        <v>116</v>
      </c>
      <c r="AE383" s="751" t="s">
        <v>67</v>
      </c>
      <c r="AF383" s="791"/>
      <c r="AG383" s="791"/>
      <c r="AH383" s="547" t="s">
        <v>2093</v>
      </c>
      <c r="AI383" s="789" t="s">
        <v>2094</v>
      </c>
      <c r="AJ383" s="789" t="s">
        <v>2095</v>
      </c>
      <c r="AK383" s="568">
        <v>3304990000</v>
      </c>
      <c r="AL383" s="551"/>
      <c r="AM383" s="630" t="s">
        <v>2096</v>
      </c>
      <c r="AN383" s="631" t="s">
        <v>2097</v>
      </c>
      <c r="AO383" s="631" t="s">
        <v>2098</v>
      </c>
      <c r="AP383" s="616" t="s">
        <v>2099</v>
      </c>
      <c r="AQ383" s="617" t="s">
        <v>2100</v>
      </c>
      <c r="AR383" s="621"/>
      <c r="AS383" s="618"/>
      <c r="AU383" s="189"/>
      <c r="AV383" s="189"/>
      <c r="AW383" s="189"/>
      <c r="AX383" s="521">
        <f t="shared" ref="AX383:AX392" si="308">42*90*90/1000000000</f>
        <v>3.4019999999999998E-4</v>
      </c>
      <c r="AY383" s="507"/>
      <c r="AZ383" s="189"/>
      <c r="BA383" s="189"/>
      <c r="BB383" s="189"/>
      <c r="BC383" s="189"/>
      <c r="BD383" s="189" t="s">
        <v>315</v>
      </c>
      <c r="BF383" s="447"/>
    </row>
    <row r="384" spans="1:58" s="3" customFormat="1" ht="18.75" customHeight="1">
      <c r="A384" s="331">
        <v>4627101828362</v>
      </c>
      <c r="B384" s="329">
        <v>2738</v>
      </c>
      <c r="C384" s="355" t="s">
        <v>2101</v>
      </c>
      <c r="D384" s="826"/>
      <c r="E384" s="219" t="s">
        <v>2092</v>
      </c>
      <c r="F384" s="248"/>
      <c r="G384" s="111"/>
      <c r="H384" s="111"/>
      <c r="I384" s="239"/>
      <c r="J384" s="238">
        <v>265</v>
      </c>
      <c r="K384" s="104">
        <f t="shared" si="302"/>
        <v>0</v>
      </c>
      <c r="L384" s="238">
        <f t="shared" ref="L384:L392" si="309">J384+J384*5%</f>
        <v>278.25</v>
      </c>
      <c r="M384" s="104">
        <f t="shared" si="303"/>
        <v>0</v>
      </c>
      <c r="N384" s="238">
        <f t="shared" ref="N384:N392" si="310">J384+J384*10%</f>
        <v>291.5</v>
      </c>
      <c r="O384" s="104">
        <f t="shared" si="304"/>
        <v>0</v>
      </c>
      <c r="P384" s="238">
        <f t="shared" ref="P384:P392" si="311">J384+J384*15%</f>
        <v>304.75</v>
      </c>
      <c r="Q384" s="104">
        <f t="shared" si="305"/>
        <v>0</v>
      </c>
      <c r="R384" s="238">
        <f t="shared" ref="R384:R392" si="312">J384+J384*25%</f>
        <v>331.25</v>
      </c>
      <c r="S384" s="104">
        <f t="shared" si="306"/>
        <v>0</v>
      </c>
      <c r="T384" s="105">
        <v>245</v>
      </c>
      <c r="U384" s="105">
        <f t="shared" si="307"/>
        <v>0</v>
      </c>
      <c r="V384" s="106"/>
      <c r="W384" s="301">
        <v>500</v>
      </c>
      <c r="X384" s="446"/>
      <c r="Y384" s="567">
        <v>12</v>
      </c>
      <c r="Z384" s="189">
        <v>3</v>
      </c>
      <c r="AA384" s="541" t="s">
        <v>118</v>
      </c>
      <c r="AB384" s="537">
        <v>45034</v>
      </c>
      <c r="AC384" s="537">
        <v>47589</v>
      </c>
      <c r="AD384" s="718" t="s">
        <v>119</v>
      </c>
      <c r="AE384" s="751" t="s">
        <v>67</v>
      </c>
      <c r="AF384" s="791"/>
      <c r="AG384" s="791"/>
      <c r="AH384" s="547" t="s">
        <v>2093</v>
      </c>
      <c r="AI384" s="789" t="s">
        <v>2094</v>
      </c>
      <c r="AJ384" s="789" t="s">
        <v>2095</v>
      </c>
      <c r="AK384" s="568">
        <v>3304990000</v>
      </c>
      <c r="AL384" s="551"/>
      <c r="AM384" s="630" t="s">
        <v>2102</v>
      </c>
      <c r="AN384" s="631" t="s">
        <v>2103</v>
      </c>
      <c r="AO384" s="631" t="s">
        <v>2098</v>
      </c>
      <c r="AP384" s="616" t="s">
        <v>2104</v>
      </c>
      <c r="AQ384" s="617" t="s">
        <v>2105</v>
      </c>
      <c r="AR384" s="621"/>
      <c r="AS384" s="618"/>
      <c r="AU384" s="189"/>
      <c r="AV384" s="189"/>
      <c r="AW384" s="189"/>
      <c r="AX384" s="521">
        <f t="shared" si="308"/>
        <v>3.4019999999999998E-4</v>
      </c>
      <c r="AY384" s="507"/>
      <c r="AZ384" s="189"/>
      <c r="BA384" s="189"/>
      <c r="BB384" s="189"/>
      <c r="BC384" s="189"/>
      <c r="BD384" s="189" t="s">
        <v>315</v>
      </c>
      <c r="BF384" s="447"/>
    </row>
    <row r="385" spans="1:58" s="3" customFormat="1" ht="18.75" customHeight="1">
      <c r="A385" s="331">
        <v>4627101828447</v>
      </c>
      <c r="B385" s="329">
        <v>2739</v>
      </c>
      <c r="C385" s="355" t="s">
        <v>2106</v>
      </c>
      <c r="D385" s="826"/>
      <c r="E385" s="219" t="s">
        <v>2092</v>
      </c>
      <c r="F385" s="248"/>
      <c r="G385" s="111"/>
      <c r="H385" s="111"/>
      <c r="I385" s="239"/>
      <c r="J385" s="238">
        <v>265</v>
      </c>
      <c r="K385" s="104">
        <f t="shared" si="302"/>
        <v>0</v>
      </c>
      <c r="L385" s="238">
        <f t="shared" si="309"/>
        <v>278.25</v>
      </c>
      <c r="M385" s="104">
        <f t="shared" si="303"/>
        <v>0</v>
      </c>
      <c r="N385" s="238">
        <f t="shared" si="310"/>
        <v>291.5</v>
      </c>
      <c r="O385" s="104">
        <f t="shared" si="304"/>
        <v>0</v>
      </c>
      <c r="P385" s="238">
        <f t="shared" si="311"/>
        <v>304.75</v>
      </c>
      <c r="Q385" s="104">
        <f t="shared" si="305"/>
        <v>0</v>
      </c>
      <c r="R385" s="238">
        <f t="shared" si="312"/>
        <v>331.25</v>
      </c>
      <c r="S385" s="104">
        <f t="shared" si="306"/>
        <v>0</v>
      </c>
      <c r="T385" s="105">
        <v>245</v>
      </c>
      <c r="U385" s="105">
        <f t="shared" si="307"/>
        <v>0</v>
      </c>
      <c r="V385" s="106"/>
      <c r="W385" s="301">
        <v>500</v>
      </c>
      <c r="X385" s="446"/>
      <c r="Y385" s="567">
        <v>12</v>
      </c>
      <c r="Z385" s="189">
        <v>3</v>
      </c>
      <c r="AA385" s="541" t="s">
        <v>118</v>
      </c>
      <c r="AB385" s="537">
        <v>45034</v>
      </c>
      <c r="AC385" s="537">
        <v>47589</v>
      </c>
      <c r="AD385" s="718" t="s">
        <v>119</v>
      </c>
      <c r="AE385" s="751" t="s">
        <v>67</v>
      </c>
      <c r="AF385" s="791"/>
      <c r="AG385" s="791"/>
      <c r="AH385" s="547" t="s">
        <v>2093</v>
      </c>
      <c r="AI385" s="789" t="s">
        <v>2094</v>
      </c>
      <c r="AJ385" s="789" t="s">
        <v>2095</v>
      </c>
      <c r="AK385" s="568">
        <v>3304990000</v>
      </c>
      <c r="AL385" s="551"/>
      <c r="AM385" s="630" t="s">
        <v>2107</v>
      </c>
      <c r="AN385" s="631" t="s">
        <v>2108</v>
      </c>
      <c r="AO385" s="631" t="s">
        <v>2098</v>
      </c>
      <c r="AP385" s="616" t="s">
        <v>2109</v>
      </c>
      <c r="AQ385" s="617" t="s">
        <v>2110</v>
      </c>
      <c r="AR385" s="621"/>
      <c r="AS385" s="618"/>
      <c r="AU385" s="189"/>
      <c r="AV385" s="189"/>
      <c r="AW385" s="189"/>
      <c r="AX385" s="521">
        <f t="shared" si="308"/>
        <v>3.4019999999999998E-4</v>
      </c>
      <c r="AY385" s="507"/>
      <c r="AZ385" s="189"/>
      <c r="BA385" s="189"/>
      <c r="BB385" s="189"/>
      <c r="BC385" s="189"/>
      <c r="BD385" s="189" t="s">
        <v>315</v>
      </c>
      <c r="BF385" s="447"/>
    </row>
    <row r="386" spans="1:58" s="3" customFormat="1" ht="17.25" customHeight="1">
      <c r="A386" s="331">
        <v>4627186343156</v>
      </c>
      <c r="B386" s="329">
        <v>4215</v>
      </c>
      <c r="C386" s="355" t="s">
        <v>2111</v>
      </c>
      <c r="D386" s="826"/>
      <c r="E386" s="219" t="s">
        <v>2092</v>
      </c>
      <c r="F386" s="248"/>
      <c r="G386" s="111"/>
      <c r="H386" s="111"/>
      <c r="I386" s="239"/>
      <c r="J386" s="238">
        <v>255</v>
      </c>
      <c r="K386" s="104">
        <f t="shared" si="302"/>
        <v>0</v>
      </c>
      <c r="L386" s="238">
        <f t="shared" si="309"/>
        <v>267.75</v>
      </c>
      <c r="M386" s="104">
        <f t="shared" si="303"/>
        <v>0</v>
      </c>
      <c r="N386" s="238">
        <f t="shared" si="310"/>
        <v>280.5</v>
      </c>
      <c r="O386" s="104">
        <f t="shared" si="304"/>
        <v>0</v>
      </c>
      <c r="P386" s="238">
        <f t="shared" si="311"/>
        <v>293.25</v>
      </c>
      <c r="Q386" s="104">
        <f t="shared" si="305"/>
        <v>0</v>
      </c>
      <c r="R386" s="238">
        <f t="shared" si="312"/>
        <v>318.75</v>
      </c>
      <c r="S386" s="104">
        <f t="shared" si="306"/>
        <v>0</v>
      </c>
      <c r="T386" s="105">
        <v>245</v>
      </c>
      <c r="U386" s="105">
        <f t="shared" si="307"/>
        <v>0</v>
      </c>
      <c r="V386" s="106"/>
      <c r="W386" s="301">
        <v>480</v>
      </c>
      <c r="X386" s="446"/>
      <c r="Y386" s="567">
        <v>12</v>
      </c>
      <c r="Z386" s="189">
        <v>3</v>
      </c>
      <c r="AA386" s="541" t="s">
        <v>118</v>
      </c>
      <c r="AB386" s="537">
        <v>45034</v>
      </c>
      <c r="AC386" s="537">
        <v>47589</v>
      </c>
      <c r="AD386" s="718" t="s">
        <v>119</v>
      </c>
      <c r="AE386" s="751" t="s">
        <v>67</v>
      </c>
      <c r="AF386" s="791"/>
      <c r="AG386" s="791"/>
      <c r="AH386" s="547" t="s">
        <v>2093</v>
      </c>
      <c r="AI386" s="789" t="s">
        <v>2094</v>
      </c>
      <c r="AJ386" s="789" t="s">
        <v>2095</v>
      </c>
      <c r="AK386" s="568">
        <v>3304990000</v>
      </c>
      <c r="AL386" s="551"/>
      <c r="AM386" s="630" t="s">
        <v>2112</v>
      </c>
      <c r="AN386" s="631" t="s">
        <v>2113</v>
      </c>
      <c r="AO386" s="631" t="s">
        <v>2098</v>
      </c>
      <c r="AP386" s="616" t="s">
        <v>2114</v>
      </c>
      <c r="AQ386" s="617" t="s">
        <v>2115</v>
      </c>
      <c r="AR386" s="621"/>
      <c r="AS386" s="618"/>
      <c r="AU386" s="189"/>
      <c r="AV386" s="189"/>
      <c r="AW386" s="189"/>
      <c r="AX386" s="521">
        <f t="shared" si="308"/>
        <v>3.4019999999999998E-4</v>
      </c>
      <c r="AY386" s="507"/>
      <c r="AZ386" s="189"/>
      <c r="BA386" s="189"/>
      <c r="BB386" s="189"/>
      <c r="BC386" s="189"/>
      <c r="BD386" s="189" t="s">
        <v>315</v>
      </c>
      <c r="BF386" s="447"/>
    </row>
    <row r="387" spans="1:58" s="3" customFormat="1" ht="17.25" customHeight="1">
      <c r="A387" s="331">
        <v>4627101828386</v>
      </c>
      <c r="B387" s="329">
        <v>2740</v>
      </c>
      <c r="C387" s="355" t="s">
        <v>2116</v>
      </c>
      <c r="D387" s="826"/>
      <c r="E387" s="219" t="s">
        <v>2092</v>
      </c>
      <c r="F387" s="248"/>
      <c r="G387" s="111"/>
      <c r="H387" s="111"/>
      <c r="I387" s="239"/>
      <c r="J387" s="238">
        <v>255</v>
      </c>
      <c r="K387" s="104">
        <f t="shared" si="302"/>
        <v>0</v>
      </c>
      <c r="L387" s="238">
        <f t="shared" si="309"/>
        <v>267.75</v>
      </c>
      <c r="M387" s="104">
        <f t="shared" si="303"/>
        <v>0</v>
      </c>
      <c r="N387" s="238">
        <f t="shared" si="310"/>
        <v>280.5</v>
      </c>
      <c r="O387" s="104">
        <f t="shared" si="304"/>
        <v>0</v>
      </c>
      <c r="P387" s="238">
        <f t="shared" si="311"/>
        <v>293.25</v>
      </c>
      <c r="Q387" s="104">
        <f t="shared" si="305"/>
        <v>0</v>
      </c>
      <c r="R387" s="238">
        <f t="shared" si="312"/>
        <v>318.75</v>
      </c>
      <c r="S387" s="104">
        <f t="shared" si="306"/>
        <v>0</v>
      </c>
      <c r="T387" s="105">
        <v>245</v>
      </c>
      <c r="U387" s="105">
        <f t="shared" si="307"/>
        <v>0</v>
      </c>
      <c r="V387" s="106"/>
      <c r="W387" s="301">
        <v>480</v>
      </c>
      <c r="X387" s="446"/>
      <c r="Y387" s="567">
        <v>12</v>
      </c>
      <c r="Z387" s="189">
        <v>3</v>
      </c>
      <c r="AA387" s="541" t="s">
        <v>118</v>
      </c>
      <c r="AB387" s="537">
        <v>45034</v>
      </c>
      <c r="AC387" s="537">
        <v>47589</v>
      </c>
      <c r="AD387" s="718" t="s">
        <v>119</v>
      </c>
      <c r="AE387" s="751" t="s">
        <v>67</v>
      </c>
      <c r="AF387" s="791"/>
      <c r="AG387" s="791"/>
      <c r="AH387" s="547" t="s">
        <v>2093</v>
      </c>
      <c r="AI387" s="789" t="s">
        <v>2094</v>
      </c>
      <c r="AJ387" s="789" t="s">
        <v>2095</v>
      </c>
      <c r="AK387" s="568">
        <v>3304990000</v>
      </c>
      <c r="AL387" s="551"/>
      <c r="AM387" s="630" t="s">
        <v>2117</v>
      </c>
      <c r="AN387" s="631" t="s">
        <v>2118</v>
      </c>
      <c r="AO387" s="631" t="s">
        <v>2098</v>
      </c>
      <c r="AP387" s="616" t="s">
        <v>2119</v>
      </c>
      <c r="AQ387" s="617" t="s">
        <v>2120</v>
      </c>
      <c r="AR387" s="621"/>
      <c r="AS387" s="618"/>
      <c r="AU387" s="189"/>
      <c r="AV387" s="189"/>
      <c r="AW387" s="189"/>
      <c r="AX387" s="521">
        <f t="shared" si="308"/>
        <v>3.4019999999999998E-4</v>
      </c>
      <c r="AY387" s="507"/>
      <c r="AZ387" s="189"/>
      <c r="BA387" s="189"/>
      <c r="BB387" s="189"/>
      <c r="BC387" s="189"/>
      <c r="BD387" s="189" t="s">
        <v>315</v>
      </c>
      <c r="BF387" s="447"/>
    </row>
    <row r="388" spans="1:58" s="3" customFormat="1" ht="17.25" customHeight="1">
      <c r="A388" s="331">
        <v>4627101828287</v>
      </c>
      <c r="B388" s="329">
        <v>4212</v>
      </c>
      <c r="C388" s="355" t="s">
        <v>2121</v>
      </c>
      <c r="D388" s="826"/>
      <c r="E388" s="219"/>
      <c r="F388" s="248"/>
      <c r="G388" s="111"/>
      <c r="H388" s="111"/>
      <c r="I388" s="239"/>
      <c r="J388" s="238">
        <v>255</v>
      </c>
      <c r="K388" s="104">
        <f t="shared" si="302"/>
        <v>0</v>
      </c>
      <c r="L388" s="238">
        <f t="shared" si="309"/>
        <v>267.75</v>
      </c>
      <c r="M388" s="104">
        <f t="shared" si="303"/>
        <v>0</v>
      </c>
      <c r="N388" s="238">
        <f t="shared" si="310"/>
        <v>280.5</v>
      </c>
      <c r="O388" s="104">
        <f t="shared" si="304"/>
        <v>0</v>
      </c>
      <c r="P388" s="238">
        <f t="shared" si="311"/>
        <v>293.25</v>
      </c>
      <c r="Q388" s="104">
        <f t="shared" si="305"/>
        <v>0</v>
      </c>
      <c r="R388" s="238">
        <f t="shared" si="312"/>
        <v>318.75</v>
      </c>
      <c r="S388" s="104">
        <f t="shared" si="306"/>
        <v>0</v>
      </c>
      <c r="T388" s="105"/>
      <c r="U388" s="105"/>
      <c r="V388" s="106"/>
      <c r="W388" s="301">
        <v>480</v>
      </c>
      <c r="X388" s="446"/>
      <c r="Y388" s="567">
        <v>12</v>
      </c>
      <c r="Z388" s="189">
        <v>3</v>
      </c>
      <c r="AA388" s="541" t="s">
        <v>118</v>
      </c>
      <c r="AB388" s="537">
        <v>45034</v>
      </c>
      <c r="AC388" s="537">
        <v>47589</v>
      </c>
      <c r="AD388" s="718" t="s">
        <v>119</v>
      </c>
      <c r="AE388" s="751" t="s">
        <v>67</v>
      </c>
      <c r="AF388" s="791"/>
      <c r="AG388" s="791"/>
      <c r="AH388" s="547" t="s">
        <v>2093</v>
      </c>
      <c r="AI388" s="789" t="s">
        <v>2094</v>
      </c>
      <c r="AJ388" s="789" t="s">
        <v>2095</v>
      </c>
      <c r="AK388" s="568">
        <v>3304990000</v>
      </c>
      <c r="AL388" s="551"/>
      <c r="AM388" s="630"/>
      <c r="AN388" s="631"/>
      <c r="AO388" s="631"/>
      <c r="AP388" s="616"/>
      <c r="AQ388" s="617"/>
      <c r="AR388" s="621"/>
      <c r="AS388" s="618"/>
      <c r="AU388" s="189"/>
      <c r="AV388" s="189"/>
      <c r="AW388" s="189"/>
      <c r="AX388" s="521"/>
      <c r="AY388" s="507"/>
      <c r="AZ388" s="189"/>
      <c r="BA388" s="189"/>
      <c r="BB388" s="189"/>
      <c r="BC388" s="189"/>
      <c r="BD388" s="189"/>
      <c r="BF388" s="447"/>
    </row>
    <row r="389" spans="1:58" s="3" customFormat="1" ht="16.5" customHeight="1">
      <c r="A389" s="331">
        <v>4627186343170</v>
      </c>
      <c r="B389" s="329">
        <v>4211</v>
      </c>
      <c r="C389" s="355" t="s">
        <v>2122</v>
      </c>
      <c r="D389" s="826"/>
      <c r="E389" s="219"/>
      <c r="F389" s="248"/>
      <c r="G389" s="111"/>
      <c r="H389" s="111"/>
      <c r="I389" s="239"/>
      <c r="J389" s="238">
        <v>255</v>
      </c>
      <c r="K389" s="104">
        <f t="shared" si="302"/>
        <v>0</v>
      </c>
      <c r="L389" s="238">
        <f t="shared" si="309"/>
        <v>267.75</v>
      </c>
      <c r="M389" s="104">
        <f t="shared" si="303"/>
        <v>0</v>
      </c>
      <c r="N389" s="238">
        <f t="shared" si="310"/>
        <v>280.5</v>
      </c>
      <c r="O389" s="104">
        <f t="shared" si="304"/>
        <v>0</v>
      </c>
      <c r="P389" s="238">
        <f t="shared" si="311"/>
        <v>293.25</v>
      </c>
      <c r="Q389" s="104">
        <f t="shared" si="305"/>
        <v>0</v>
      </c>
      <c r="R389" s="238">
        <f t="shared" si="312"/>
        <v>318.75</v>
      </c>
      <c r="S389" s="104">
        <f t="shared" si="306"/>
        <v>0</v>
      </c>
      <c r="T389" s="105">
        <v>245</v>
      </c>
      <c r="U389" s="105">
        <f t="shared" si="307"/>
        <v>0</v>
      </c>
      <c r="V389" s="106"/>
      <c r="W389" s="301">
        <v>480</v>
      </c>
      <c r="X389" s="446"/>
      <c r="Y389" s="567">
        <v>12</v>
      </c>
      <c r="Z389" s="189">
        <v>3</v>
      </c>
      <c r="AA389" s="541" t="s">
        <v>118</v>
      </c>
      <c r="AB389" s="537">
        <v>45034</v>
      </c>
      <c r="AC389" s="537">
        <v>47589</v>
      </c>
      <c r="AD389" s="718" t="s">
        <v>119</v>
      </c>
      <c r="AE389" s="751" t="s">
        <v>67</v>
      </c>
      <c r="AF389" s="791"/>
      <c r="AG389" s="791"/>
      <c r="AH389" s="547" t="s">
        <v>2093</v>
      </c>
      <c r="AI389" s="789" t="s">
        <v>2094</v>
      </c>
      <c r="AJ389" s="789" t="s">
        <v>2095</v>
      </c>
      <c r="AK389" s="568">
        <v>3304990000</v>
      </c>
      <c r="AL389" s="551"/>
      <c r="AM389" s="630"/>
      <c r="AN389" s="631"/>
      <c r="AO389" s="631"/>
      <c r="AP389" s="616"/>
      <c r="AQ389" s="617"/>
      <c r="AR389" s="621"/>
      <c r="AS389" s="618"/>
      <c r="AU389" s="189"/>
      <c r="AV389" s="189"/>
      <c r="AW389" s="189"/>
      <c r="AX389" s="521"/>
      <c r="AY389" s="507"/>
      <c r="AZ389" s="189"/>
      <c r="BA389" s="189"/>
      <c r="BB389" s="189"/>
      <c r="BC389" s="189"/>
      <c r="BD389" s="189"/>
      <c r="BF389" s="447"/>
    </row>
    <row r="390" spans="1:58" s="3" customFormat="1" ht="16.5" customHeight="1">
      <c r="A390" s="331">
        <v>4627101828263</v>
      </c>
      <c r="B390" s="329">
        <v>2732</v>
      </c>
      <c r="C390" s="355" t="s">
        <v>2123</v>
      </c>
      <c r="D390" s="826"/>
      <c r="E390" s="219"/>
      <c r="F390" s="248"/>
      <c r="G390" s="111"/>
      <c r="H390" s="111"/>
      <c r="I390" s="239"/>
      <c r="J390" s="238">
        <v>255</v>
      </c>
      <c r="K390" s="104">
        <f t="shared" si="302"/>
        <v>0</v>
      </c>
      <c r="L390" s="238">
        <f t="shared" si="309"/>
        <v>267.75</v>
      </c>
      <c r="M390" s="104">
        <f t="shared" si="303"/>
        <v>0</v>
      </c>
      <c r="N390" s="238">
        <f t="shared" si="310"/>
        <v>280.5</v>
      </c>
      <c r="O390" s="104">
        <f t="shared" si="304"/>
        <v>0</v>
      </c>
      <c r="P390" s="238">
        <f t="shared" si="311"/>
        <v>293.25</v>
      </c>
      <c r="Q390" s="104">
        <f t="shared" si="305"/>
        <v>0</v>
      </c>
      <c r="R390" s="238">
        <f t="shared" si="312"/>
        <v>318.75</v>
      </c>
      <c r="S390" s="104">
        <f t="shared" si="306"/>
        <v>0</v>
      </c>
      <c r="T390" s="105"/>
      <c r="U390" s="105"/>
      <c r="V390" s="106"/>
      <c r="W390" s="301">
        <v>480</v>
      </c>
      <c r="X390" s="446"/>
      <c r="Y390" s="567">
        <v>12</v>
      </c>
      <c r="Z390" s="189">
        <v>3</v>
      </c>
      <c r="AA390" s="541" t="s">
        <v>2124</v>
      </c>
      <c r="AB390" s="537">
        <v>45258</v>
      </c>
      <c r="AC390" s="537">
        <v>47814</v>
      </c>
      <c r="AD390" s="718" t="s">
        <v>2125</v>
      </c>
      <c r="AE390" s="751" t="s">
        <v>67</v>
      </c>
      <c r="AF390" s="791"/>
      <c r="AG390" s="791"/>
      <c r="AH390" s="547" t="s">
        <v>2093</v>
      </c>
      <c r="AI390" s="789" t="s">
        <v>2094</v>
      </c>
      <c r="AJ390" s="789" t="s">
        <v>2095</v>
      </c>
      <c r="AK390" s="568">
        <v>3304990000</v>
      </c>
      <c r="AL390" s="551"/>
      <c r="AM390" s="630"/>
      <c r="AN390" s="631"/>
      <c r="AO390" s="631"/>
      <c r="AP390" s="616"/>
      <c r="AQ390" s="617"/>
      <c r="AR390" s="621"/>
      <c r="AS390" s="618"/>
      <c r="AU390" s="189"/>
      <c r="AV390" s="189"/>
      <c r="AW390" s="189"/>
      <c r="AX390" s="521"/>
      <c r="AY390" s="507"/>
      <c r="AZ390" s="189"/>
      <c r="BA390" s="189"/>
      <c r="BB390" s="189"/>
      <c r="BC390" s="189"/>
      <c r="BD390" s="189"/>
      <c r="BF390" s="447"/>
    </row>
    <row r="391" spans="1:58" s="3" customFormat="1" ht="16.5" customHeight="1">
      <c r="A391" s="331">
        <v>4627101828348</v>
      </c>
      <c r="B391" s="329">
        <v>2734</v>
      </c>
      <c r="C391" s="355" t="s">
        <v>2126</v>
      </c>
      <c r="D391" s="826"/>
      <c r="E391" s="219"/>
      <c r="F391" s="248"/>
      <c r="G391" s="111"/>
      <c r="H391" s="111"/>
      <c r="I391" s="239"/>
      <c r="J391" s="238">
        <v>255</v>
      </c>
      <c r="K391" s="104">
        <f t="shared" si="302"/>
        <v>0</v>
      </c>
      <c r="L391" s="238">
        <f t="shared" si="309"/>
        <v>267.75</v>
      </c>
      <c r="M391" s="104">
        <f t="shared" si="303"/>
        <v>0</v>
      </c>
      <c r="N391" s="238">
        <f t="shared" si="310"/>
        <v>280.5</v>
      </c>
      <c r="O391" s="104">
        <f t="shared" si="304"/>
        <v>0</v>
      </c>
      <c r="P391" s="238">
        <f t="shared" si="311"/>
        <v>293.25</v>
      </c>
      <c r="Q391" s="104">
        <f t="shared" si="305"/>
        <v>0</v>
      </c>
      <c r="R391" s="238">
        <f t="shared" si="312"/>
        <v>318.75</v>
      </c>
      <c r="S391" s="104">
        <f t="shared" si="306"/>
        <v>0</v>
      </c>
      <c r="T391" s="105">
        <v>245</v>
      </c>
      <c r="U391" s="105">
        <f t="shared" si="307"/>
        <v>0</v>
      </c>
      <c r="V391" s="106"/>
      <c r="W391" s="301">
        <v>480</v>
      </c>
      <c r="X391" s="446"/>
      <c r="Y391" s="567">
        <v>12</v>
      </c>
      <c r="Z391" s="189">
        <v>3</v>
      </c>
      <c r="AA391" s="541" t="s">
        <v>118</v>
      </c>
      <c r="AB391" s="537">
        <v>45034</v>
      </c>
      <c r="AC391" s="537">
        <v>47589</v>
      </c>
      <c r="AD391" s="718" t="s">
        <v>119</v>
      </c>
      <c r="AE391" s="751" t="s">
        <v>67</v>
      </c>
      <c r="AF391" s="791"/>
      <c r="AG391" s="791"/>
      <c r="AH391" s="547" t="s">
        <v>2093</v>
      </c>
      <c r="AI391" s="789" t="s">
        <v>2094</v>
      </c>
      <c r="AJ391" s="789" t="s">
        <v>2095</v>
      </c>
      <c r="AK391" s="568">
        <v>3304990000</v>
      </c>
      <c r="AL391" s="551"/>
      <c r="AM391" s="630"/>
      <c r="AN391" s="631"/>
      <c r="AO391" s="631"/>
      <c r="AP391" s="616"/>
      <c r="AQ391" s="617"/>
      <c r="AR391" s="621"/>
      <c r="AS391" s="618"/>
      <c r="AU391" s="189"/>
      <c r="AV391" s="189"/>
      <c r="AW391" s="189"/>
      <c r="AX391" s="521"/>
      <c r="AY391" s="507"/>
      <c r="AZ391" s="189"/>
      <c r="BA391" s="189"/>
      <c r="BB391" s="189"/>
      <c r="BC391" s="189"/>
      <c r="BD391" s="189"/>
      <c r="BF391" s="447"/>
    </row>
    <row r="392" spans="1:58" s="3" customFormat="1" ht="15.75" customHeight="1">
      <c r="A392" s="331">
        <v>4627186343163</v>
      </c>
      <c r="B392" s="329">
        <v>4210</v>
      </c>
      <c r="C392" s="355" t="s">
        <v>2127</v>
      </c>
      <c r="D392" s="826"/>
      <c r="E392" s="219" t="s">
        <v>2092</v>
      </c>
      <c r="F392" s="248"/>
      <c r="G392" s="111"/>
      <c r="H392" s="111"/>
      <c r="I392" s="239"/>
      <c r="J392" s="238">
        <v>255</v>
      </c>
      <c r="K392" s="104">
        <f t="shared" si="302"/>
        <v>0</v>
      </c>
      <c r="L392" s="238">
        <f t="shared" si="309"/>
        <v>267.75</v>
      </c>
      <c r="M392" s="104">
        <f t="shared" si="303"/>
        <v>0</v>
      </c>
      <c r="N392" s="238">
        <f t="shared" si="310"/>
        <v>280.5</v>
      </c>
      <c r="O392" s="104">
        <f t="shared" si="304"/>
        <v>0</v>
      </c>
      <c r="P392" s="238">
        <f t="shared" si="311"/>
        <v>293.25</v>
      </c>
      <c r="Q392" s="104">
        <f t="shared" si="305"/>
        <v>0</v>
      </c>
      <c r="R392" s="238">
        <f t="shared" si="312"/>
        <v>318.75</v>
      </c>
      <c r="S392" s="104">
        <f t="shared" si="306"/>
        <v>0</v>
      </c>
      <c r="T392" s="105">
        <v>245</v>
      </c>
      <c r="U392" s="105">
        <f t="shared" si="307"/>
        <v>0</v>
      </c>
      <c r="V392" s="106"/>
      <c r="W392" s="301">
        <v>480</v>
      </c>
      <c r="X392" s="446"/>
      <c r="Y392" s="567">
        <v>12</v>
      </c>
      <c r="Z392" s="189">
        <v>3</v>
      </c>
      <c r="AA392" s="541" t="s">
        <v>118</v>
      </c>
      <c r="AB392" s="537">
        <v>45034</v>
      </c>
      <c r="AC392" s="537">
        <v>47589</v>
      </c>
      <c r="AD392" s="718" t="s">
        <v>119</v>
      </c>
      <c r="AE392" s="751" t="s">
        <v>67</v>
      </c>
      <c r="AF392" s="791"/>
      <c r="AG392" s="791"/>
      <c r="AH392" s="547" t="s">
        <v>2093</v>
      </c>
      <c r="AI392" s="789" t="s">
        <v>2094</v>
      </c>
      <c r="AJ392" s="789" t="s">
        <v>2095</v>
      </c>
      <c r="AK392" s="568">
        <v>3304990000</v>
      </c>
      <c r="AL392" s="551"/>
      <c r="AM392" s="630" t="s">
        <v>2128</v>
      </c>
      <c r="AN392" s="631" t="s">
        <v>2129</v>
      </c>
      <c r="AO392" s="631" t="s">
        <v>2098</v>
      </c>
      <c r="AP392" s="616" t="s">
        <v>2130</v>
      </c>
      <c r="AQ392" s="617" t="s">
        <v>2131</v>
      </c>
      <c r="AR392" s="621"/>
      <c r="AS392" s="618"/>
      <c r="AU392" s="189"/>
      <c r="AV392" s="189"/>
      <c r="AW392" s="189"/>
      <c r="AX392" s="521">
        <f t="shared" si="308"/>
        <v>3.4019999999999998E-4</v>
      </c>
      <c r="AY392" s="507"/>
      <c r="AZ392" s="189"/>
      <c r="BA392" s="189"/>
      <c r="BB392" s="189"/>
      <c r="BC392" s="189"/>
      <c r="BD392" s="189" t="s">
        <v>315</v>
      </c>
      <c r="BF392" s="447"/>
    </row>
    <row r="393" spans="1:58" ht="19.5" customHeight="1">
      <c r="A393" s="485" t="s">
        <v>156</v>
      </c>
      <c r="B393" s="333"/>
      <c r="C393" s="271" t="s">
        <v>2132</v>
      </c>
      <c r="D393" s="827"/>
      <c r="E393" s="270"/>
      <c r="F393" s="491"/>
      <c r="G393" s="360"/>
      <c r="H393" s="360"/>
      <c r="I393" s="360"/>
      <c r="J393" s="357"/>
      <c r="K393" s="488">
        <f>K394+K395+K396</f>
        <v>0</v>
      </c>
      <c r="L393" s="489"/>
      <c r="M393" s="488">
        <f>M394+M395+M396</f>
        <v>0</v>
      </c>
      <c r="N393" s="489"/>
      <c r="O393" s="488">
        <f>O394+O395+O396</f>
        <v>0</v>
      </c>
      <c r="P393" s="489"/>
      <c r="Q393" s="488">
        <f>Q394+Q395+Q396</f>
        <v>0</v>
      </c>
      <c r="R393" s="489"/>
      <c r="S393" s="488">
        <f>S394+S395+S396</f>
        <v>0</v>
      </c>
      <c r="T393" s="313"/>
      <c r="U393" s="313">
        <f>SUM(U394:U396)</f>
        <v>0</v>
      </c>
      <c r="V393" s="293"/>
      <c r="W393" s="293"/>
      <c r="Y393" s="562"/>
      <c r="Z393" s="293"/>
      <c r="AA393" s="772"/>
      <c r="AB393" s="543"/>
      <c r="AC393" s="543"/>
      <c r="AD393" s="716"/>
      <c r="AE393" s="716"/>
      <c r="AF393" s="701"/>
      <c r="AG393" s="701"/>
      <c r="AH393" s="546"/>
      <c r="AI393" s="675"/>
      <c r="AJ393" s="293"/>
      <c r="AK393" s="563"/>
      <c r="AL393" s="554"/>
      <c r="AM393" s="562"/>
      <c r="AN393" s="293"/>
      <c r="AO393" s="293"/>
      <c r="AP393" s="293"/>
      <c r="AQ393" s="293"/>
      <c r="AR393" s="293"/>
      <c r="AS393" s="563"/>
      <c r="AU393" s="293"/>
      <c r="AV393" s="293"/>
      <c r="AW393" s="293"/>
      <c r="AX393" s="293"/>
      <c r="AY393" s="293"/>
      <c r="AZ393" s="293"/>
      <c r="BA393" s="293"/>
      <c r="BB393" s="293"/>
      <c r="BC393" s="293"/>
      <c r="BD393" s="293"/>
      <c r="BF393" s="445"/>
    </row>
    <row r="394" spans="1:58" ht="18.75" customHeight="1">
      <c r="A394" s="116">
        <v>4620748862416</v>
      </c>
      <c r="B394" s="100">
        <v>1330</v>
      </c>
      <c r="C394" s="251" t="s">
        <v>2133</v>
      </c>
      <c r="D394" s="826"/>
      <c r="E394" s="110" t="s">
        <v>287</v>
      </c>
      <c r="F394" s="249"/>
      <c r="G394" s="190"/>
      <c r="H394" s="190"/>
      <c r="I394" s="190"/>
      <c r="J394" s="238">
        <v>265</v>
      </c>
      <c r="K394" s="104">
        <f>F394*J394</f>
        <v>0</v>
      </c>
      <c r="L394" s="238">
        <f t="shared" ref="L394:L396" si="313">J394+J394*5%</f>
        <v>278.25</v>
      </c>
      <c r="M394" s="104">
        <f>F394*L394</f>
        <v>0</v>
      </c>
      <c r="N394" s="238">
        <f t="shared" ref="N394:N396" si="314">J394+J394*10%</f>
        <v>291.5</v>
      </c>
      <c r="O394" s="104">
        <f>F394*N394</f>
        <v>0</v>
      </c>
      <c r="P394" s="238">
        <f t="shared" ref="P394:P396" si="315">J394+J394*15%</f>
        <v>304.75</v>
      </c>
      <c r="Q394" s="104">
        <f>F394*P394</f>
        <v>0</v>
      </c>
      <c r="R394" s="238">
        <f t="shared" ref="R394:R396" si="316">J394+J394*25%</f>
        <v>331.25</v>
      </c>
      <c r="S394" s="104">
        <f>F394*R394</f>
        <v>0</v>
      </c>
      <c r="T394" s="105">
        <v>135</v>
      </c>
      <c r="U394" s="105">
        <f>T394*F394</f>
        <v>0</v>
      </c>
      <c r="V394" s="106"/>
      <c r="W394" s="301">
        <v>500</v>
      </c>
      <c r="Y394" s="567">
        <v>12</v>
      </c>
      <c r="Z394" s="189">
        <v>3</v>
      </c>
      <c r="AA394" s="541" t="s">
        <v>2134</v>
      </c>
      <c r="AB394" s="537">
        <v>45148</v>
      </c>
      <c r="AC394" s="537">
        <v>47704</v>
      </c>
      <c r="AD394" s="718" t="s">
        <v>2135</v>
      </c>
      <c r="AE394" s="751" t="s">
        <v>67</v>
      </c>
      <c r="AF394" s="700"/>
      <c r="AG394" s="700"/>
      <c r="AH394" s="547"/>
      <c r="AI394" s="478"/>
      <c r="AJ394" s="189"/>
      <c r="AK394" s="568">
        <v>3304990000</v>
      </c>
      <c r="AM394" s="610" t="s">
        <v>2136</v>
      </c>
      <c r="AN394" s="611" t="s">
        <v>2137</v>
      </c>
      <c r="AO394" s="611" t="s">
        <v>2138</v>
      </c>
      <c r="AP394" s="612" t="s">
        <v>2139</v>
      </c>
      <c r="AQ394" s="637" t="s">
        <v>2140</v>
      </c>
      <c r="AR394" s="619" t="s">
        <v>340</v>
      </c>
      <c r="AS394" s="615"/>
      <c r="AU394" s="189"/>
      <c r="AV394" s="189"/>
      <c r="AW394" s="189"/>
      <c r="AX394" s="521"/>
      <c r="AY394" s="507"/>
      <c r="AZ394" s="189"/>
      <c r="BA394" s="189"/>
      <c r="BB394" s="189"/>
      <c r="BC394" s="517"/>
      <c r="BD394" s="189"/>
      <c r="BF394" s="445"/>
    </row>
    <row r="395" spans="1:58" ht="20.25" customHeight="1">
      <c r="A395" s="116">
        <v>4627101821868</v>
      </c>
      <c r="B395" s="100">
        <v>1332</v>
      </c>
      <c r="C395" s="251" t="s">
        <v>2141</v>
      </c>
      <c r="D395" s="826"/>
      <c r="E395" s="110" t="s">
        <v>287</v>
      </c>
      <c r="F395" s="249"/>
      <c r="G395" s="190"/>
      <c r="H395" s="190"/>
      <c r="I395" s="190"/>
      <c r="J395" s="238">
        <v>280</v>
      </c>
      <c r="K395" s="104">
        <f>J395*F395</f>
        <v>0</v>
      </c>
      <c r="L395" s="238">
        <f t="shared" si="313"/>
        <v>294</v>
      </c>
      <c r="M395" s="104">
        <f>F395*L395</f>
        <v>0</v>
      </c>
      <c r="N395" s="238">
        <f t="shared" si="314"/>
        <v>308</v>
      </c>
      <c r="O395" s="104">
        <f>F395*N395</f>
        <v>0</v>
      </c>
      <c r="P395" s="238">
        <f t="shared" si="315"/>
        <v>322</v>
      </c>
      <c r="Q395" s="104">
        <f>F395*P395</f>
        <v>0</v>
      </c>
      <c r="R395" s="238">
        <f t="shared" si="316"/>
        <v>350</v>
      </c>
      <c r="S395" s="104">
        <f>F395*R395</f>
        <v>0</v>
      </c>
      <c r="T395" s="105">
        <v>117</v>
      </c>
      <c r="U395" s="105">
        <f>T395*F395</f>
        <v>0</v>
      </c>
      <c r="V395" s="106"/>
      <c r="W395" s="301">
        <v>530</v>
      </c>
      <c r="Y395" s="567">
        <v>12</v>
      </c>
      <c r="Z395" s="189">
        <v>3</v>
      </c>
      <c r="AA395" s="541" t="s">
        <v>2134</v>
      </c>
      <c r="AB395" s="537">
        <v>45148</v>
      </c>
      <c r="AC395" s="537">
        <v>47704</v>
      </c>
      <c r="AD395" s="718" t="s">
        <v>2142</v>
      </c>
      <c r="AE395" s="751" t="s">
        <v>67</v>
      </c>
      <c r="AF395" s="700"/>
      <c r="AG395" s="700"/>
      <c r="AH395" s="547"/>
      <c r="AI395" s="478"/>
      <c r="AJ395" s="189"/>
      <c r="AK395" s="568">
        <v>3304990000</v>
      </c>
      <c r="AM395" s="610" t="s">
        <v>2143</v>
      </c>
      <c r="AN395" s="611" t="s">
        <v>2144</v>
      </c>
      <c r="AO395" s="611" t="s">
        <v>2145</v>
      </c>
      <c r="AP395" s="612" t="s">
        <v>2146</v>
      </c>
      <c r="AQ395" s="609"/>
      <c r="AR395" s="619" t="s">
        <v>340</v>
      </c>
      <c r="AS395" s="615"/>
      <c r="AU395" s="189"/>
      <c r="AV395" s="189"/>
      <c r="AW395" s="189"/>
      <c r="AX395" s="521"/>
      <c r="AY395" s="507"/>
      <c r="AZ395" s="189"/>
      <c r="BA395" s="189"/>
      <c r="BB395" s="189"/>
      <c r="BC395" s="517"/>
      <c r="BD395" s="189"/>
      <c r="BF395" s="445"/>
    </row>
    <row r="396" spans="1:58" ht="19.5" customHeight="1">
      <c r="A396" s="116">
        <v>4620748862379</v>
      </c>
      <c r="B396" s="100">
        <v>1331</v>
      </c>
      <c r="C396" s="251" t="s">
        <v>2147</v>
      </c>
      <c r="D396" s="826"/>
      <c r="E396" s="110" t="s">
        <v>287</v>
      </c>
      <c r="F396" s="249"/>
      <c r="G396" s="190"/>
      <c r="H396" s="190"/>
      <c r="I396" s="190"/>
      <c r="J396" s="238">
        <v>260</v>
      </c>
      <c r="K396" s="104">
        <f>J396*F396</f>
        <v>0</v>
      </c>
      <c r="L396" s="238">
        <f t="shared" si="313"/>
        <v>273</v>
      </c>
      <c r="M396" s="104">
        <f>F396*L396</f>
        <v>0</v>
      </c>
      <c r="N396" s="238">
        <f t="shared" si="314"/>
        <v>286</v>
      </c>
      <c r="O396" s="104">
        <f>F396*N396</f>
        <v>0</v>
      </c>
      <c r="P396" s="238">
        <f t="shared" si="315"/>
        <v>299</v>
      </c>
      <c r="Q396" s="104">
        <f>F396*P396</f>
        <v>0</v>
      </c>
      <c r="R396" s="238">
        <f t="shared" si="316"/>
        <v>325</v>
      </c>
      <c r="S396" s="104">
        <f>F396*R396</f>
        <v>0</v>
      </c>
      <c r="T396" s="105">
        <v>135</v>
      </c>
      <c r="U396" s="105">
        <f>T396*F396</f>
        <v>0</v>
      </c>
      <c r="V396" s="106"/>
      <c r="W396" s="301">
        <v>490</v>
      </c>
      <c r="Y396" s="567">
        <v>12</v>
      </c>
      <c r="Z396" s="189">
        <v>3</v>
      </c>
      <c r="AA396" s="541" t="s">
        <v>2134</v>
      </c>
      <c r="AB396" s="537">
        <v>45148</v>
      </c>
      <c r="AC396" s="537">
        <v>47704</v>
      </c>
      <c r="AD396" s="718" t="s">
        <v>2142</v>
      </c>
      <c r="AE396" s="751" t="s">
        <v>67</v>
      </c>
      <c r="AF396" s="700"/>
      <c r="AG396" s="700"/>
      <c r="AH396" s="547"/>
      <c r="AI396" s="478"/>
      <c r="AJ396" s="189"/>
      <c r="AK396" s="568">
        <v>3304990000</v>
      </c>
      <c r="AM396" s="610" t="s">
        <v>2143</v>
      </c>
      <c r="AN396" s="611" t="s">
        <v>2144</v>
      </c>
      <c r="AO396" s="611" t="s">
        <v>2145</v>
      </c>
      <c r="AP396" s="612" t="s">
        <v>2148</v>
      </c>
      <c r="AQ396" s="637" t="s">
        <v>2149</v>
      </c>
      <c r="AR396" s="619" t="s">
        <v>340</v>
      </c>
      <c r="AS396" s="615"/>
      <c r="AU396" s="189"/>
      <c r="AV396" s="189"/>
      <c r="AW396" s="189"/>
      <c r="AX396" s="521"/>
      <c r="AY396" s="507"/>
      <c r="AZ396" s="189"/>
      <c r="BA396" s="189"/>
      <c r="BB396" s="189"/>
      <c r="BC396" s="517"/>
      <c r="BD396" s="189"/>
      <c r="BF396" s="445"/>
    </row>
    <row r="397" spans="1:58" ht="20.25" customHeight="1">
      <c r="A397" s="485" t="s">
        <v>156</v>
      </c>
      <c r="B397" s="333"/>
      <c r="C397" s="271" t="s">
        <v>2150</v>
      </c>
      <c r="D397" s="827"/>
      <c r="E397" s="270"/>
      <c r="F397" s="491"/>
      <c r="G397" s="360"/>
      <c r="H397" s="360"/>
      <c r="I397" s="360"/>
      <c r="J397" s="357"/>
      <c r="K397" s="488">
        <f>SUM(K398:K404)</f>
        <v>0</v>
      </c>
      <c r="L397" s="489"/>
      <c r="M397" s="488">
        <f>SUM(M398:M404)</f>
        <v>0</v>
      </c>
      <c r="N397" s="489"/>
      <c r="O397" s="488">
        <f>SUM(O398:O404)</f>
        <v>0</v>
      </c>
      <c r="P397" s="489"/>
      <c r="Q397" s="488">
        <f>SUM(Q398:Q404)</f>
        <v>0</v>
      </c>
      <c r="R397" s="489"/>
      <c r="S397" s="488">
        <f>SUM(S398:S404)</f>
        <v>0</v>
      </c>
      <c r="T397" s="313"/>
      <c r="U397" s="313">
        <f>SUM(U398:U404)</f>
        <v>0</v>
      </c>
      <c r="V397" s="293"/>
      <c r="W397" s="293"/>
      <c r="Y397" s="562"/>
      <c r="Z397" s="293"/>
      <c r="AA397" s="772"/>
      <c r="AB397" s="543"/>
      <c r="AC397" s="543"/>
      <c r="AD397" s="716"/>
      <c r="AE397" s="716"/>
      <c r="AF397" s="701"/>
      <c r="AG397" s="701"/>
      <c r="AH397" s="546"/>
      <c r="AI397" s="675"/>
      <c r="AJ397" s="293"/>
      <c r="AK397" s="563"/>
      <c r="AL397" s="554"/>
      <c r="AM397" s="562"/>
      <c r="AN397" s="293"/>
      <c r="AO397" s="293"/>
      <c r="AP397" s="293"/>
      <c r="AQ397" s="293"/>
      <c r="AR397" s="293"/>
      <c r="AS397" s="563"/>
      <c r="AU397" s="293"/>
      <c r="AV397" s="293"/>
      <c r="AW397" s="293"/>
      <c r="AX397" s="293"/>
      <c r="AY397" s="293"/>
      <c r="AZ397" s="293"/>
      <c r="BA397" s="293"/>
      <c r="BB397" s="293"/>
      <c r="BC397" s="293"/>
      <c r="BD397" s="293"/>
      <c r="BF397" s="445"/>
    </row>
    <row r="398" spans="1:58" ht="18.75" customHeight="1">
      <c r="A398" s="116">
        <v>4627186340650</v>
      </c>
      <c r="B398" s="100">
        <v>3572</v>
      </c>
      <c r="C398" s="251" t="s">
        <v>2151</v>
      </c>
      <c r="D398" s="826"/>
      <c r="E398" s="110" t="s">
        <v>2152</v>
      </c>
      <c r="F398" s="248"/>
      <c r="G398" s="190"/>
      <c r="H398" s="190"/>
      <c r="I398" s="190"/>
      <c r="J398" s="104">
        <v>140</v>
      </c>
      <c r="K398" s="104">
        <f t="shared" ref="K398:K404" si="317">J398*F398</f>
        <v>0</v>
      </c>
      <c r="L398" s="238">
        <f>J398+J398*5%</f>
        <v>147</v>
      </c>
      <c r="M398" s="104">
        <f t="shared" ref="M398:M404" si="318">F398*L398</f>
        <v>0</v>
      </c>
      <c r="N398" s="238">
        <f>J398+J398*10%</f>
        <v>154</v>
      </c>
      <c r="O398" s="104">
        <f t="shared" ref="O398:O404" si="319">F398*N398</f>
        <v>0</v>
      </c>
      <c r="P398" s="238">
        <f>J398+J398*15%</f>
        <v>161</v>
      </c>
      <c r="Q398" s="104">
        <f t="shared" ref="Q398:Q404" si="320">F398*P398</f>
        <v>0</v>
      </c>
      <c r="R398" s="238">
        <f>J398+J398*25%</f>
        <v>175</v>
      </c>
      <c r="S398" s="104">
        <f t="shared" ref="S398:S404" si="321">F398*R398</f>
        <v>0</v>
      </c>
      <c r="T398" s="105">
        <v>145</v>
      </c>
      <c r="U398" s="105">
        <f t="shared" ref="U398:U404" si="322">T398*F398</f>
        <v>0</v>
      </c>
      <c r="V398" s="106"/>
      <c r="W398" s="301">
        <v>265</v>
      </c>
      <c r="Y398" s="567">
        <v>9</v>
      </c>
      <c r="Z398" s="189"/>
      <c r="AA398" s="775" t="s">
        <v>2153</v>
      </c>
      <c r="AB398" s="538">
        <v>43894</v>
      </c>
      <c r="AC398" s="538">
        <v>45719</v>
      </c>
      <c r="AD398" s="719" t="s">
        <v>2154</v>
      </c>
      <c r="AE398" s="751"/>
      <c r="AF398" s="700"/>
      <c r="AG398" s="700"/>
      <c r="AH398" s="547"/>
      <c r="AI398" s="478"/>
      <c r="AJ398" s="189"/>
      <c r="AK398" s="568">
        <v>3307300000</v>
      </c>
      <c r="AM398" s="610" t="s">
        <v>2155</v>
      </c>
      <c r="AN398" s="611" t="s">
        <v>2156</v>
      </c>
      <c r="AO398" s="611" t="s">
        <v>2157</v>
      </c>
      <c r="AP398" s="616" t="s">
        <v>2158</v>
      </c>
      <c r="AQ398" s="637" t="s">
        <v>2159</v>
      </c>
      <c r="AR398" s="621"/>
      <c r="AS398" s="618"/>
      <c r="AU398" s="189"/>
      <c r="AV398" s="189"/>
      <c r="AW398" s="189"/>
      <c r="AX398" s="521"/>
      <c r="AY398" s="507"/>
      <c r="AZ398" s="189"/>
      <c r="BA398" s="189"/>
      <c r="BB398" s="189"/>
      <c r="BC398" s="517"/>
      <c r="BD398" s="189"/>
      <c r="BF398" s="445"/>
    </row>
    <row r="399" spans="1:58" ht="17.25" customHeight="1">
      <c r="A399" s="116">
        <v>4627186340667</v>
      </c>
      <c r="B399" s="100">
        <v>3577</v>
      </c>
      <c r="C399" s="251" t="s">
        <v>2160</v>
      </c>
      <c r="D399" s="826"/>
      <c r="E399" s="110" t="s">
        <v>2152</v>
      </c>
      <c r="F399" s="248"/>
      <c r="G399" s="190"/>
      <c r="H399" s="190"/>
      <c r="I399" s="190"/>
      <c r="J399" s="104">
        <v>140</v>
      </c>
      <c r="K399" s="104">
        <f t="shared" si="317"/>
        <v>0</v>
      </c>
      <c r="L399" s="238">
        <f t="shared" ref="L399:L404" si="323">J399+J399*5%</f>
        <v>147</v>
      </c>
      <c r="M399" s="104">
        <f t="shared" si="318"/>
        <v>0</v>
      </c>
      <c r="N399" s="238">
        <f t="shared" ref="N399:N404" si="324">J399+J399*10%</f>
        <v>154</v>
      </c>
      <c r="O399" s="104">
        <f t="shared" si="319"/>
        <v>0</v>
      </c>
      <c r="P399" s="238">
        <f t="shared" ref="P399:P404" si="325">J399+J399*15%</f>
        <v>161</v>
      </c>
      <c r="Q399" s="104">
        <f t="shared" si="320"/>
        <v>0</v>
      </c>
      <c r="R399" s="238">
        <f t="shared" ref="R399:R404" si="326">J399+J399*25%</f>
        <v>175</v>
      </c>
      <c r="S399" s="104">
        <f t="shared" si="321"/>
        <v>0</v>
      </c>
      <c r="T399" s="105">
        <v>145</v>
      </c>
      <c r="U399" s="105">
        <f t="shared" si="322"/>
        <v>0</v>
      </c>
      <c r="V399" s="106"/>
      <c r="W399" s="301">
        <v>265</v>
      </c>
      <c r="Y399" s="567">
        <v>9</v>
      </c>
      <c r="Z399" s="189"/>
      <c r="AA399" s="775" t="s">
        <v>2153</v>
      </c>
      <c r="AB399" s="538">
        <v>43894</v>
      </c>
      <c r="AC399" s="538">
        <v>45719</v>
      </c>
      <c r="AD399" s="719" t="s">
        <v>2154</v>
      </c>
      <c r="AE399" s="751"/>
      <c r="AF399" s="700"/>
      <c r="AG399" s="700"/>
      <c r="AH399" s="547"/>
      <c r="AI399" s="478"/>
      <c r="AJ399" s="189"/>
      <c r="AK399" s="568">
        <v>3307300000</v>
      </c>
      <c r="AM399" s="610" t="s">
        <v>2161</v>
      </c>
      <c r="AN399" s="611" t="s">
        <v>2162</v>
      </c>
      <c r="AO399" s="611" t="s">
        <v>2157</v>
      </c>
      <c r="AP399" s="616" t="s">
        <v>2163</v>
      </c>
      <c r="AQ399" s="637" t="s">
        <v>2164</v>
      </c>
      <c r="AR399" s="621"/>
      <c r="AS399" s="618"/>
      <c r="AU399" s="189"/>
      <c r="AV399" s="189"/>
      <c r="AW399" s="189"/>
      <c r="AX399" s="521"/>
      <c r="AY399" s="507"/>
      <c r="AZ399" s="189"/>
      <c r="BA399" s="189"/>
      <c r="BB399" s="189"/>
      <c r="BC399" s="517"/>
      <c r="BD399" s="189"/>
      <c r="BF399" s="445"/>
    </row>
    <row r="400" spans="1:58" ht="19.5" customHeight="1">
      <c r="A400" s="116">
        <v>4627186340674</v>
      </c>
      <c r="B400" s="100">
        <v>3573</v>
      </c>
      <c r="C400" s="251" t="s">
        <v>2165</v>
      </c>
      <c r="D400" s="826"/>
      <c r="E400" s="110" t="s">
        <v>2152</v>
      </c>
      <c r="F400" s="248"/>
      <c r="G400" s="190"/>
      <c r="H400" s="190"/>
      <c r="I400" s="190"/>
      <c r="J400" s="104">
        <v>140</v>
      </c>
      <c r="K400" s="104">
        <f t="shared" si="317"/>
        <v>0</v>
      </c>
      <c r="L400" s="238">
        <f t="shared" si="323"/>
        <v>147</v>
      </c>
      <c r="M400" s="104">
        <f t="shared" si="318"/>
        <v>0</v>
      </c>
      <c r="N400" s="238">
        <f t="shared" si="324"/>
        <v>154</v>
      </c>
      <c r="O400" s="104">
        <f t="shared" si="319"/>
        <v>0</v>
      </c>
      <c r="P400" s="238">
        <f t="shared" si="325"/>
        <v>161</v>
      </c>
      <c r="Q400" s="104">
        <f t="shared" si="320"/>
        <v>0</v>
      </c>
      <c r="R400" s="238">
        <f t="shared" si="326"/>
        <v>175</v>
      </c>
      <c r="S400" s="104">
        <f t="shared" si="321"/>
        <v>0</v>
      </c>
      <c r="T400" s="105">
        <v>145</v>
      </c>
      <c r="U400" s="105">
        <f t="shared" si="322"/>
        <v>0</v>
      </c>
      <c r="V400" s="106"/>
      <c r="W400" s="301">
        <v>265</v>
      </c>
      <c r="Y400" s="567">
        <v>9</v>
      </c>
      <c r="Z400" s="189"/>
      <c r="AA400" s="775" t="s">
        <v>2153</v>
      </c>
      <c r="AB400" s="538">
        <v>43894</v>
      </c>
      <c r="AC400" s="538">
        <v>45719</v>
      </c>
      <c r="AD400" s="719" t="s">
        <v>2154</v>
      </c>
      <c r="AE400" s="751"/>
      <c r="AF400" s="700"/>
      <c r="AG400" s="700"/>
      <c r="AH400" s="547"/>
      <c r="AI400" s="478"/>
      <c r="AJ400" s="189"/>
      <c r="AK400" s="568">
        <v>3307300000</v>
      </c>
      <c r="AM400" s="610" t="s">
        <v>2166</v>
      </c>
      <c r="AN400" s="611" t="s">
        <v>2167</v>
      </c>
      <c r="AO400" s="611" t="s">
        <v>2157</v>
      </c>
      <c r="AP400" s="616" t="s">
        <v>2168</v>
      </c>
      <c r="AQ400" s="637" t="s">
        <v>2169</v>
      </c>
      <c r="AR400" s="621"/>
      <c r="AS400" s="618"/>
      <c r="AU400" s="189"/>
      <c r="AV400" s="189"/>
      <c r="AW400" s="189"/>
      <c r="AX400" s="521"/>
      <c r="AY400" s="507"/>
      <c r="AZ400" s="189"/>
      <c r="BA400" s="189"/>
      <c r="BB400" s="189"/>
      <c r="BC400" s="517"/>
      <c r="BD400" s="189"/>
      <c r="BF400" s="445"/>
    </row>
    <row r="401" spans="1:58" ht="19.5" customHeight="1">
      <c r="A401" s="116">
        <v>4627186340681</v>
      </c>
      <c r="B401" s="100">
        <v>3574</v>
      </c>
      <c r="C401" s="251" t="s">
        <v>2170</v>
      </c>
      <c r="D401" s="826"/>
      <c r="E401" s="110" t="s">
        <v>2152</v>
      </c>
      <c r="F401" s="248"/>
      <c r="G401" s="190"/>
      <c r="H401" s="190"/>
      <c r="I401" s="190"/>
      <c r="J401" s="104">
        <v>140</v>
      </c>
      <c r="K401" s="104">
        <f t="shared" si="317"/>
        <v>0</v>
      </c>
      <c r="L401" s="238">
        <f t="shared" si="323"/>
        <v>147</v>
      </c>
      <c r="M401" s="104">
        <f t="shared" si="318"/>
        <v>0</v>
      </c>
      <c r="N401" s="238">
        <f t="shared" si="324"/>
        <v>154</v>
      </c>
      <c r="O401" s="104">
        <f t="shared" si="319"/>
        <v>0</v>
      </c>
      <c r="P401" s="238">
        <f t="shared" si="325"/>
        <v>161</v>
      </c>
      <c r="Q401" s="104">
        <f t="shared" si="320"/>
        <v>0</v>
      </c>
      <c r="R401" s="238">
        <f t="shared" si="326"/>
        <v>175</v>
      </c>
      <c r="S401" s="104">
        <f t="shared" si="321"/>
        <v>0</v>
      </c>
      <c r="T401" s="105">
        <v>145</v>
      </c>
      <c r="U401" s="105">
        <f t="shared" si="322"/>
        <v>0</v>
      </c>
      <c r="V401" s="106"/>
      <c r="W401" s="301">
        <v>265</v>
      </c>
      <c r="Y401" s="567">
        <v>9</v>
      </c>
      <c r="Z401" s="189"/>
      <c r="AA401" s="775" t="s">
        <v>2153</v>
      </c>
      <c r="AB401" s="538">
        <v>43894</v>
      </c>
      <c r="AC401" s="538">
        <v>45719</v>
      </c>
      <c r="AD401" s="719" t="s">
        <v>2154</v>
      </c>
      <c r="AE401" s="751"/>
      <c r="AF401" s="700"/>
      <c r="AG401" s="700"/>
      <c r="AH401" s="547"/>
      <c r="AI401" s="478"/>
      <c r="AJ401" s="189"/>
      <c r="AK401" s="568">
        <v>3307300000</v>
      </c>
      <c r="AM401" s="610" t="s">
        <v>2171</v>
      </c>
      <c r="AN401" s="611" t="s">
        <v>2172</v>
      </c>
      <c r="AO401" s="611" t="s">
        <v>2157</v>
      </c>
      <c r="AP401" s="616"/>
      <c r="AQ401" s="637" t="s">
        <v>2173</v>
      </c>
      <c r="AR401" s="621"/>
      <c r="AS401" s="618"/>
      <c r="AU401" s="189"/>
      <c r="AV401" s="189"/>
      <c r="AW401" s="189"/>
      <c r="AX401" s="521"/>
      <c r="AY401" s="507"/>
      <c r="AZ401" s="189"/>
      <c r="BA401" s="189"/>
      <c r="BB401" s="189"/>
      <c r="BC401" s="517"/>
      <c r="BD401" s="189"/>
      <c r="BF401" s="445"/>
    </row>
    <row r="402" spans="1:58" ht="19.5" customHeight="1">
      <c r="A402" s="116">
        <v>4627186340698</v>
      </c>
      <c r="B402" s="100">
        <v>3575</v>
      </c>
      <c r="C402" s="251" t="s">
        <v>2174</v>
      </c>
      <c r="D402" s="826"/>
      <c r="E402" s="110" t="s">
        <v>2152</v>
      </c>
      <c r="F402" s="248"/>
      <c r="G402" s="190"/>
      <c r="H402" s="190"/>
      <c r="I402" s="190"/>
      <c r="J402" s="104">
        <v>140</v>
      </c>
      <c r="K402" s="104">
        <f t="shared" si="317"/>
        <v>0</v>
      </c>
      <c r="L402" s="238">
        <f t="shared" si="323"/>
        <v>147</v>
      </c>
      <c r="M402" s="104">
        <f t="shared" si="318"/>
        <v>0</v>
      </c>
      <c r="N402" s="238">
        <f t="shared" si="324"/>
        <v>154</v>
      </c>
      <c r="O402" s="104">
        <f t="shared" si="319"/>
        <v>0</v>
      </c>
      <c r="P402" s="238">
        <f t="shared" si="325"/>
        <v>161</v>
      </c>
      <c r="Q402" s="104">
        <f t="shared" si="320"/>
        <v>0</v>
      </c>
      <c r="R402" s="238">
        <f t="shared" si="326"/>
        <v>175</v>
      </c>
      <c r="S402" s="104">
        <f t="shared" si="321"/>
        <v>0</v>
      </c>
      <c r="T402" s="105">
        <v>145</v>
      </c>
      <c r="U402" s="105">
        <f t="shared" si="322"/>
        <v>0</v>
      </c>
      <c r="V402" s="106"/>
      <c r="W402" s="301">
        <v>265</v>
      </c>
      <c r="Y402" s="567">
        <v>9</v>
      </c>
      <c r="Z402" s="189"/>
      <c r="AA402" s="775" t="s">
        <v>2153</v>
      </c>
      <c r="AB402" s="538">
        <v>43894</v>
      </c>
      <c r="AC402" s="538">
        <v>45719</v>
      </c>
      <c r="AD402" s="719" t="s">
        <v>2154</v>
      </c>
      <c r="AE402" s="751"/>
      <c r="AF402" s="700"/>
      <c r="AG402" s="700"/>
      <c r="AH402" s="547"/>
      <c r="AI402" s="478"/>
      <c r="AJ402" s="189"/>
      <c r="AK402" s="568">
        <v>3307300000</v>
      </c>
      <c r="AM402" s="610" t="s">
        <v>2175</v>
      </c>
      <c r="AN402" s="611" t="s">
        <v>2176</v>
      </c>
      <c r="AO402" s="611" t="s">
        <v>2157</v>
      </c>
      <c r="AP402" s="616" t="s">
        <v>2177</v>
      </c>
      <c r="AQ402" s="637" t="s">
        <v>2178</v>
      </c>
      <c r="AR402" s="621"/>
      <c r="AS402" s="618"/>
      <c r="AU402" s="189"/>
      <c r="AV402" s="189"/>
      <c r="AW402" s="189"/>
      <c r="AX402" s="521"/>
      <c r="AY402" s="507"/>
      <c r="AZ402" s="189"/>
      <c r="BA402" s="189"/>
      <c r="BB402" s="189"/>
      <c r="BC402" s="517"/>
      <c r="BD402" s="189"/>
      <c r="BF402" s="445"/>
    </row>
    <row r="403" spans="1:58" ht="19.5" customHeight="1">
      <c r="A403" s="116">
        <v>4627186340704</v>
      </c>
      <c r="B403" s="100">
        <v>3578</v>
      </c>
      <c r="C403" s="251" t="s">
        <v>2179</v>
      </c>
      <c r="D403" s="826"/>
      <c r="E403" s="110" t="s">
        <v>2152</v>
      </c>
      <c r="F403" s="248"/>
      <c r="G403" s="190"/>
      <c r="H403" s="190"/>
      <c r="I403" s="190"/>
      <c r="J403" s="104">
        <v>140</v>
      </c>
      <c r="K403" s="104">
        <f t="shared" si="317"/>
        <v>0</v>
      </c>
      <c r="L403" s="238">
        <f t="shared" si="323"/>
        <v>147</v>
      </c>
      <c r="M403" s="104">
        <f t="shared" si="318"/>
        <v>0</v>
      </c>
      <c r="N403" s="238">
        <f t="shared" si="324"/>
        <v>154</v>
      </c>
      <c r="O403" s="104">
        <f t="shared" si="319"/>
        <v>0</v>
      </c>
      <c r="P403" s="238">
        <f t="shared" si="325"/>
        <v>161</v>
      </c>
      <c r="Q403" s="104">
        <f t="shared" si="320"/>
        <v>0</v>
      </c>
      <c r="R403" s="238">
        <f t="shared" si="326"/>
        <v>175</v>
      </c>
      <c r="S403" s="104">
        <f t="shared" si="321"/>
        <v>0</v>
      </c>
      <c r="T403" s="105">
        <v>145</v>
      </c>
      <c r="U403" s="105">
        <f t="shared" si="322"/>
        <v>0</v>
      </c>
      <c r="V403" s="106"/>
      <c r="W403" s="301">
        <v>265</v>
      </c>
      <c r="Y403" s="567">
        <v>9</v>
      </c>
      <c r="Z403" s="189"/>
      <c r="AA403" s="775" t="s">
        <v>2153</v>
      </c>
      <c r="AB403" s="538">
        <v>43894</v>
      </c>
      <c r="AC403" s="538">
        <v>45719</v>
      </c>
      <c r="AD403" s="719" t="s">
        <v>2154</v>
      </c>
      <c r="AE403" s="751"/>
      <c r="AF403" s="700"/>
      <c r="AG403" s="700"/>
      <c r="AH403" s="547"/>
      <c r="AI403" s="478"/>
      <c r="AJ403" s="189"/>
      <c r="AK403" s="568">
        <v>3307300000</v>
      </c>
      <c r="AM403" s="610" t="s">
        <v>2180</v>
      </c>
      <c r="AN403" s="611" t="s">
        <v>2181</v>
      </c>
      <c r="AO403" s="611" t="s">
        <v>2157</v>
      </c>
      <c r="AP403" s="616" t="s">
        <v>2182</v>
      </c>
      <c r="AQ403" s="637" t="s">
        <v>2183</v>
      </c>
      <c r="AR403" s="621"/>
      <c r="AS403" s="618"/>
      <c r="AU403" s="189"/>
      <c r="AV403" s="189"/>
      <c r="AW403" s="189"/>
      <c r="AX403" s="521"/>
      <c r="AY403" s="507"/>
      <c r="AZ403" s="189"/>
      <c r="BA403" s="189"/>
      <c r="BB403" s="189"/>
      <c r="BC403" s="517"/>
      <c r="BD403" s="189"/>
      <c r="BF403" s="445"/>
    </row>
    <row r="404" spans="1:58" ht="19.5" customHeight="1">
      <c r="A404" s="116">
        <v>4627186340711</v>
      </c>
      <c r="B404" s="100">
        <v>3576</v>
      </c>
      <c r="C404" s="251" t="s">
        <v>2184</v>
      </c>
      <c r="D404" s="826"/>
      <c r="E404" s="110" t="s">
        <v>2152</v>
      </c>
      <c r="F404" s="248"/>
      <c r="G404" s="190"/>
      <c r="H404" s="190"/>
      <c r="I404" s="190"/>
      <c r="J404" s="104">
        <v>140</v>
      </c>
      <c r="K404" s="104">
        <f t="shared" si="317"/>
        <v>0</v>
      </c>
      <c r="L404" s="238">
        <f t="shared" si="323"/>
        <v>147</v>
      </c>
      <c r="M404" s="104">
        <f t="shared" si="318"/>
        <v>0</v>
      </c>
      <c r="N404" s="238">
        <f t="shared" si="324"/>
        <v>154</v>
      </c>
      <c r="O404" s="104">
        <f t="shared" si="319"/>
        <v>0</v>
      </c>
      <c r="P404" s="238">
        <f t="shared" si="325"/>
        <v>161</v>
      </c>
      <c r="Q404" s="104">
        <f t="shared" si="320"/>
        <v>0</v>
      </c>
      <c r="R404" s="238">
        <f t="shared" si="326"/>
        <v>175</v>
      </c>
      <c r="S404" s="104">
        <f t="shared" si="321"/>
        <v>0</v>
      </c>
      <c r="T404" s="105">
        <v>145</v>
      </c>
      <c r="U404" s="105">
        <f t="shared" si="322"/>
        <v>0</v>
      </c>
      <c r="V404" s="106"/>
      <c r="W404" s="301">
        <v>265</v>
      </c>
      <c r="Y404" s="567">
        <v>9</v>
      </c>
      <c r="Z404" s="189"/>
      <c r="AA404" s="775" t="s">
        <v>2153</v>
      </c>
      <c r="AB404" s="538">
        <v>43894</v>
      </c>
      <c r="AC404" s="538">
        <v>45719</v>
      </c>
      <c r="AD404" s="719" t="s">
        <v>2154</v>
      </c>
      <c r="AE404" s="751"/>
      <c r="AF404" s="700"/>
      <c r="AG404" s="700"/>
      <c r="AH404" s="547"/>
      <c r="AI404" s="478"/>
      <c r="AJ404" s="189"/>
      <c r="AK404" s="568">
        <v>3307300000</v>
      </c>
      <c r="AM404" s="610" t="s">
        <v>2185</v>
      </c>
      <c r="AN404" s="611" t="s">
        <v>2186</v>
      </c>
      <c r="AO404" s="611" t="s">
        <v>2157</v>
      </c>
      <c r="AP404" s="616" t="s">
        <v>2187</v>
      </c>
      <c r="AQ404" s="637" t="s">
        <v>2188</v>
      </c>
      <c r="AR404" s="621"/>
      <c r="AS404" s="618"/>
      <c r="AU404" s="189"/>
      <c r="AV404" s="189"/>
      <c r="AW404" s="189"/>
      <c r="AX404" s="521"/>
      <c r="AY404" s="507"/>
      <c r="AZ404" s="189"/>
      <c r="BA404" s="189"/>
      <c r="BB404" s="189"/>
      <c r="BC404" s="517"/>
      <c r="BD404" s="189"/>
      <c r="BF404" s="445"/>
    </row>
    <row r="405" spans="1:58" ht="20.25" customHeight="1">
      <c r="A405" s="485" t="s">
        <v>156</v>
      </c>
      <c r="B405" s="333"/>
      <c r="C405" s="334" t="s">
        <v>2189</v>
      </c>
      <c r="D405" s="828"/>
      <c r="E405" s="335"/>
      <c r="F405" s="491"/>
      <c r="G405" s="360"/>
      <c r="H405" s="360"/>
      <c r="I405" s="360"/>
      <c r="J405" s="357"/>
      <c r="K405" s="488">
        <f>SUM(K406:K409)</f>
        <v>0</v>
      </c>
      <c r="L405" s="489"/>
      <c r="M405" s="488">
        <f>SUM(M406:M409)</f>
        <v>0</v>
      </c>
      <c r="N405" s="489"/>
      <c r="O405" s="488">
        <f>SUM(O406:O409)</f>
        <v>0</v>
      </c>
      <c r="P405" s="489"/>
      <c r="Q405" s="488">
        <f>SUM(Q406:Q409)</f>
        <v>0</v>
      </c>
      <c r="R405" s="489"/>
      <c r="S405" s="488">
        <f>SUM(S406:S409)</f>
        <v>0</v>
      </c>
      <c r="T405" s="313"/>
      <c r="U405" s="313">
        <f>SUM(U406:U409)</f>
        <v>0</v>
      </c>
      <c r="V405" s="293"/>
      <c r="W405" s="293"/>
      <c r="Y405" s="562"/>
      <c r="Z405" s="293"/>
      <c r="AA405" s="772"/>
      <c r="AB405" s="543"/>
      <c r="AC405" s="543"/>
      <c r="AD405" s="716"/>
      <c r="AE405" s="716"/>
      <c r="AF405" s="701"/>
      <c r="AG405" s="701"/>
      <c r="AH405" s="546"/>
      <c r="AI405" s="675"/>
      <c r="AJ405" s="293"/>
      <c r="AK405" s="563"/>
      <c r="AL405" s="554"/>
      <c r="AM405" s="562"/>
      <c r="AN405" s="293"/>
      <c r="AO405" s="293"/>
      <c r="AP405" s="293"/>
      <c r="AQ405" s="293"/>
      <c r="AR405" s="293"/>
      <c r="AS405" s="563"/>
      <c r="AU405" s="293"/>
      <c r="AV405" s="293"/>
      <c r="AW405" s="293"/>
      <c r="AX405" s="293"/>
      <c r="AY405" s="293"/>
      <c r="AZ405" s="293"/>
      <c r="BA405" s="293"/>
      <c r="BB405" s="293"/>
      <c r="BC405" s="293"/>
      <c r="BD405" s="293"/>
      <c r="BF405" s="445"/>
    </row>
    <row r="406" spans="1:58" ht="20.25" customHeight="1">
      <c r="A406" s="116">
        <v>4620748863116</v>
      </c>
      <c r="B406" s="100">
        <v>1631</v>
      </c>
      <c r="C406" s="251" t="s">
        <v>2190</v>
      </c>
      <c r="D406" s="826"/>
      <c r="E406" s="110" t="s">
        <v>2191</v>
      </c>
      <c r="F406" s="248"/>
      <c r="G406" s="111"/>
      <c r="H406" s="190"/>
      <c r="I406" s="190"/>
      <c r="J406" s="104">
        <v>220</v>
      </c>
      <c r="K406" s="104">
        <f t="shared" ref="K406:K408" si="327">J406*F406</f>
        <v>0</v>
      </c>
      <c r="L406" s="238">
        <f>J406+J406*5%</f>
        <v>231</v>
      </c>
      <c r="M406" s="104">
        <f t="shared" ref="M406:M408" si="328">F406*L406</f>
        <v>0</v>
      </c>
      <c r="N406" s="238">
        <f>J406+J406*10%</f>
        <v>242</v>
      </c>
      <c r="O406" s="104">
        <f t="shared" ref="O406:O408" si="329">F406*N406</f>
        <v>0</v>
      </c>
      <c r="P406" s="238">
        <f>J406+J406*15%</f>
        <v>253</v>
      </c>
      <c r="Q406" s="104">
        <f t="shared" ref="Q406:Q408" si="330">F406*P406</f>
        <v>0</v>
      </c>
      <c r="R406" s="238">
        <f>J406+J406*25%</f>
        <v>275</v>
      </c>
      <c r="S406" s="104">
        <f t="shared" ref="S406:S408" si="331">F406*R406</f>
        <v>0</v>
      </c>
      <c r="T406" s="105">
        <v>622</v>
      </c>
      <c r="U406" s="105">
        <f t="shared" ref="U406:U408" si="332">T406*F406</f>
        <v>0</v>
      </c>
      <c r="V406" s="106"/>
      <c r="W406" s="301">
        <v>415</v>
      </c>
      <c r="Y406" s="567">
        <v>9</v>
      </c>
      <c r="Z406" s="189"/>
      <c r="AA406" s="776" t="s">
        <v>2192</v>
      </c>
      <c r="AB406" s="536">
        <v>43894</v>
      </c>
      <c r="AC406" s="536">
        <v>45719</v>
      </c>
      <c r="AD406" s="770" t="s">
        <v>2193</v>
      </c>
      <c r="AE406" s="720"/>
      <c r="AF406" s="700"/>
      <c r="AG406" s="700"/>
      <c r="AH406" s="547" t="s">
        <v>2194</v>
      </c>
      <c r="AI406" s="478"/>
      <c r="AJ406" s="189"/>
      <c r="AK406" s="568">
        <v>3307300000</v>
      </c>
      <c r="AM406" s="610" t="s">
        <v>2195</v>
      </c>
      <c r="AN406" s="611" t="s">
        <v>2196</v>
      </c>
      <c r="AO406" s="662"/>
      <c r="AP406" s="616" t="s">
        <v>2197</v>
      </c>
      <c r="AQ406" s="609"/>
      <c r="AR406" s="621"/>
      <c r="AS406" s="618"/>
      <c r="AU406" s="189"/>
      <c r="AV406" s="189"/>
      <c r="AW406" s="189"/>
      <c r="AX406" s="521">
        <f t="shared" ref="AX406:AX409" si="333">192*111*62/1000000000</f>
        <v>1.3213439999999999E-3</v>
      </c>
      <c r="AY406" s="507"/>
      <c r="AZ406" s="189"/>
      <c r="BA406" s="189"/>
      <c r="BB406" s="189"/>
      <c r="BC406" s="517"/>
      <c r="BD406" s="189"/>
      <c r="BF406" s="445"/>
    </row>
    <row r="407" spans="1:58" ht="21" customHeight="1">
      <c r="A407" s="116">
        <v>4620748863093</v>
      </c>
      <c r="B407" s="100">
        <v>1634</v>
      </c>
      <c r="C407" s="251" t="s">
        <v>2198</v>
      </c>
      <c r="D407" s="826"/>
      <c r="E407" s="110" t="s">
        <v>2191</v>
      </c>
      <c r="F407" s="248"/>
      <c r="G407" s="111"/>
      <c r="H407" s="190"/>
      <c r="I407" s="190"/>
      <c r="J407" s="104">
        <v>220</v>
      </c>
      <c r="K407" s="104">
        <f t="shared" si="327"/>
        <v>0</v>
      </c>
      <c r="L407" s="238">
        <f t="shared" ref="L407:L409" si="334">J407+J407*5%</f>
        <v>231</v>
      </c>
      <c r="M407" s="104">
        <f t="shared" si="328"/>
        <v>0</v>
      </c>
      <c r="N407" s="238">
        <f t="shared" ref="N407:N409" si="335">J407+J407*10%</f>
        <v>242</v>
      </c>
      <c r="O407" s="104">
        <f t="shared" si="329"/>
        <v>0</v>
      </c>
      <c r="P407" s="238">
        <f t="shared" ref="P407:P409" si="336">J407+J407*15%</f>
        <v>253</v>
      </c>
      <c r="Q407" s="104">
        <f t="shared" si="330"/>
        <v>0</v>
      </c>
      <c r="R407" s="238">
        <f t="shared" ref="R407:R409" si="337">J407+J407*25%</f>
        <v>275</v>
      </c>
      <c r="S407" s="104">
        <f t="shared" si="331"/>
        <v>0</v>
      </c>
      <c r="T407" s="105">
        <v>622</v>
      </c>
      <c r="U407" s="105">
        <f t="shared" si="332"/>
        <v>0</v>
      </c>
      <c r="V407" s="106"/>
      <c r="W407" s="301">
        <v>415</v>
      </c>
      <c r="Y407" s="567">
        <v>9</v>
      </c>
      <c r="Z407" s="189"/>
      <c r="AA407" s="776" t="s">
        <v>2199</v>
      </c>
      <c r="AB407" s="536">
        <v>45156</v>
      </c>
      <c r="AC407" s="536">
        <v>47712</v>
      </c>
      <c r="AD407" s="770" t="s">
        <v>2200</v>
      </c>
      <c r="AE407" s="720"/>
      <c r="AF407" s="700"/>
      <c r="AG407" s="700"/>
      <c r="AH407" s="547" t="s">
        <v>2194</v>
      </c>
      <c r="AI407" s="478"/>
      <c r="AJ407" s="189"/>
      <c r="AK407" s="568">
        <v>3307300000</v>
      </c>
      <c r="AM407" s="610" t="s">
        <v>2201</v>
      </c>
      <c r="AN407" s="611" t="s">
        <v>2202</v>
      </c>
      <c r="AO407" s="662"/>
      <c r="AP407" s="616" t="s">
        <v>2203</v>
      </c>
      <c r="AQ407" s="609"/>
      <c r="AR407" s="621"/>
      <c r="AS407" s="618"/>
      <c r="AU407" s="189"/>
      <c r="AV407" s="189"/>
      <c r="AW407" s="189"/>
      <c r="AX407" s="521">
        <f t="shared" si="333"/>
        <v>1.3213439999999999E-3</v>
      </c>
      <c r="AY407" s="507"/>
      <c r="AZ407" s="189"/>
      <c r="BA407" s="189"/>
      <c r="BB407" s="189"/>
      <c r="BC407" s="517"/>
      <c r="BD407" s="189"/>
      <c r="BF407" s="445"/>
    </row>
    <row r="408" spans="1:58" ht="21" customHeight="1">
      <c r="A408" s="116">
        <v>4620748863086</v>
      </c>
      <c r="B408" s="100">
        <v>1636</v>
      </c>
      <c r="C408" s="251" t="s">
        <v>2204</v>
      </c>
      <c r="D408" s="826"/>
      <c r="E408" s="110" t="s">
        <v>2191</v>
      </c>
      <c r="F408" s="248"/>
      <c r="G408" s="111"/>
      <c r="H408" s="190"/>
      <c r="I408" s="190"/>
      <c r="J408" s="104">
        <v>270</v>
      </c>
      <c r="K408" s="104">
        <f t="shared" si="327"/>
        <v>0</v>
      </c>
      <c r="L408" s="238">
        <f t="shared" si="334"/>
        <v>283.5</v>
      </c>
      <c r="M408" s="104">
        <f t="shared" si="328"/>
        <v>0</v>
      </c>
      <c r="N408" s="238">
        <f t="shared" si="335"/>
        <v>297</v>
      </c>
      <c r="O408" s="104">
        <f t="shared" si="329"/>
        <v>0</v>
      </c>
      <c r="P408" s="238">
        <f t="shared" si="336"/>
        <v>310.5</v>
      </c>
      <c r="Q408" s="104">
        <f t="shared" si="330"/>
        <v>0</v>
      </c>
      <c r="R408" s="238">
        <f t="shared" si="337"/>
        <v>337.5</v>
      </c>
      <c r="S408" s="104">
        <f t="shared" si="331"/>
        <v>0</v>
      </c>
      <c r="T408" s="105">
        <v>622</v>
      </c>
      <c r="U408" s="105">
        <f t="shared" si="332"/>
        <v>0</v>
      </c>
      <c r="V408" s="106"/>
      <c r="W408" s="301">
        <v>510</v>
      </c>
      <c r="Y408" s="567">
        <v>9</v>
      </c>
      <c r="Z408" s="189"/>
      <c r="AA408" s="776" t="s">
        <v>2192</v>
      </c>
      <c r="AB408" s="536">
        <v>43894</v>
      </c>
      <c r="AC408" s="536">
        <v>45719</v>
      </c>
      <c r="AD408" s="770" t="s">
        <v>2193</v>
      </c>
      <c r="AE408" s="720"/>
      <c r="AF408" s="700"/>
      <c r="AG408" s="700"/>
      <c r="AH408" s="547" t="s">
        <v>2194</v>
      </c>
      <c r="AI408" s="478"/>
      <c r="AJ408" s="189"/>
      <c r="AK408" s="568">
        <v>3307300000</v>
      </c>
      <c r="AM408" s="610" t="s">
        <v>2205</v>
      </c>
      <c r="AN408" s="611" t="s">
        <v>2206</v>
      </c>
      <c r="AO408" s="662"/>
      <c r="AP408" s="616" t="s">
        <v>2207</v>
      </c>
      <c r="AQ408" s="609"/>
      <c r="AR408" s="621"/>
      <c r="AS408" s="618"/>
      <c r="AU408" s="189"/>
      <c r="AV408" s="189"/>
      <c r="AW408" s="189"/>
      <c r="AX408" s="521">
        <f t="shared" si="333"/>
        <v>1.3213439999999999E-3</v>
      </c>
      <c r="AY408" s="507"/>
      <c r="AZ408" s="189"/>
      <c r="BA408" s="189"/>
      <c r="BB408" s="189"/>
      <c r="BC408" s="517"/>
      <c r="BD408" s="189"/>
      <c r="BF408" s="445"/>
    </row>
    <row r="409" spans="1:58" ht="21" customHeight="1">
      <c r="A409" s="116">
        <v>4620748863055</v>
      </c>
      <c r="B409" s="100">
        <v>1640</v>
      </c>
      <c r="C409" s="251" t="s">
        <v>2208</v>
      </c>
      <c r="D409" s="826"/>
      <c r="E409" s="110" t="s">
        <v>2191</v>
      </c>
      <c r="F409" s="248"/>
      <c r="G409" s="111"/>
      <c r="H409" s="190"/>
      <c r="I409" s="190"/>
      <c r="J409" s="104">
        <v>150</v>
      </c>
      <c r="K409" s="104">
        <f t="shared" ref="K409" si="338">J409*F409</f>
        <v>0</v>
      </c>
      <c r="L409" s="238">
        <f t="shared" si="334"/>
        <v>157.5</v>
      </c>
      <c r="M409" s="104">
        <f t="shared" ref="M409" si="339">F409*L409</f>
        <v>0</v>
      </c>
      <c r="N409" s="238">
        <f t="shared" si="335"/>
        <v>165</v>
      </c>
      <c r="O409" s="104">
        <f t="shared" ref="O409" si="340">F409*N409</f>
        <v>0</v>
      </c>
      <c r="P409" s="238">
        <f t="shared" si="336"/>
        <v>172.5</v>
      </c>
      <c r="Q409" s="104">
        <f t="shared" ref="Q409" si="341">F409*P409</f>
        <v>0</v>
      </c>
      <c r="R409" s="238">
        <f t="shared" si="337"/>
        <v>187.5</v>
      </c>
      <c r="S409" s="104">
        <f t="shared" ref="S409" si="342">F409*R409</f>
        <v>0</v>
      </c>
      <c r="T409" s="105">
        <v>622</v>
      </c>
      <c r="U409" s="105">
        <f t="shared" ref="U409" si="343">T409*F409</f>
        <v>0</v>
      </c>
      <c r="V409" s="106"/>
      <c r="W409" s="301">
        <v>275</v>
      </c>
      <c r="Y409" s="567">
        <v>9</v>
      </c>
      <c r="Z409" s="189"/>
      <c r="AA409" s="776" t="s">
        <v>2192</v>
      </c>
      <c r="AB409" s="536">
        <v>43894</v>
      </c>
      <c r="AC409" s="536">
        <v>45719</v>
      </c>
      <c r="AD409" s="770" t="s">
        <v>2193</v>
      </c>
      <c r="AE409" s="720"/>
      <c r="AF409" s="700"/>
      <c r="AG409" s="700"/>
      <c r="AH409" s="547" t="s">
        <v>2194</v>
      </c>
      <c r="AI409" s="478"/>
      <c r="AJ409" s="189"/>
      <c r="AK409" s="568">
        <v>3307300000</v>
      </c>
      <c r="AM409" s="610" t="s">
        <v>2209</v>
      </c>
      <c r="AN409" s="611" t="s">
        <v>2210</v>
      </c>
      <c r="AO409" s="662"/>
      <c r="AP409" s="616" t="s">
        <v>2211</v>
      </c>
      <c r="AQ409" s="609"/>
      <c r="AR409" s="621"/>
      <c r="AS409" s="618"/>
      <c r="AU409" s="189"/>
      <c r="AV409" s="189"/>
      <c r="AW409" s="189"/>
      <c r="AX409" s="521">
        <f t="shared" si="333"/>
        <v>1.3213439999999999E-3</v>
      </c>
      <c r="AY409" s="507"/>
      <c r="AZ409" s="189"/>
      <c r="BA409" s="189"/>
      <c r="BB409" s="189"/>
      <c r="BC409" s="517"/>
      <c r="BD409" s="189"/>
      <c r="BF409" s="445"/>
    </row>
    <row r="410" spans="1:58" ht="19.5" customHeight="1">
      <c r="A410" s="485" t="s">
        <v>156</v>
      </c>
      <c r="B410" s="333"/>
      <c r="C410" s="334" t="s">
        <v>2212</v>
      </c>
      <c r="D410" s="828"/>
      <c r="E410" s="335"/>
      <c r="F410" s="491"/>
      <c r="G410" s="289"/>
      <c r="H410" s="289"/>
      <c r="I410" s="356"/>
      <c r="J410" s="357"/>
      <c r="K410" s="488">
        <f>SUM(K411:K421)</f>
        <v>0</v>
      </c>
      <c r="L410" s="489"/>
      <c r="M410" s="488">
        <f>SUM(M411:M421)</f>
        <v>0</v>
      </c>
      <c r="N410" s="489"/>
      <c r="O410" s="488">
        <f>SUM(O411:O421)</f>
        <v>0</v>
      </c>
      <c r="P410" s="489"/>
      <c r="Q410" s="488">
        <f>SUM(Q411:Q421)</f>
        <v>0</v>
      </c>
      <c r="R410" s="489"/>
      <c r="S410" s="488">
        <f>SUM(S411:S421)</f>
        <v>0</v>
      </c>
      <c r="T410" s="313"/>
      <c r="U410" s="313">
        <f>SUM(U411:U421)</f>
        <v>0</v>
      </c>
      <c r="V410" s="293"/>
      <c r="W410" s="293"/>
      <c r="Y410" s="562"/>
      <c r="Z410" s="293"/>
      <c r="AA410" s="772"/>
      <c r="AB410" s="543"/>
      <c r="AC410" s="543"/>
      <c r="AD410" s="716"/>
      <c r="AE410" s="716"/>
      <c r="AF410" s="701"/>
      <c r="AG410" s="701"/>
      <c r="AH410" s="546"/>
      <c r="AI410" s="675"/>
      <c r="AJ410" s="293"/>
      <c r="AK410" s="563"/>
      <c r="AL410" s="554"/>
      <c r="AM410" s="562"/>
      <c r="AN410" s="293"/>
      <c r="AO410" s="293"/>
      <c r="AP410" s="293"/>
      <c r="AQ410" s="293"/>
      <c r="AR410" s="293"/>
      <c r="AS410" s="563"/>
      <c r="AU410" s="293"/>
      <c r="AV410" s="293"/>
      <c r="AW410" s="293"/>
      <c r="AX410" s="293"/>
      <c r="AY410" s="293"/>
      <c r="AZ410" s="293"/>
      <c r="BA410" s="293"/>
      <c r="BB410" s="293"/>
      <c r="BC410" s="293"/>
      <c r="BD410" s="293"/>
      <c r="BF410" s="445"/>
    </row>
    <row r="411" spans="1:58" ht="21" customHeight="1">
      <c r="A411" s="116">
        <v>4620748862584</v>
      </c>
      <c r="B411" s="100">
        <v>1788</v>
      </c>
      <c r="C411" s="253" t="s">
        <v>2213</v>
      </c>
      <c r="D411" s="830"/>
      <c r="E411" s="101" t="s">
        <v>510</v>
      </c>
      <c r="F411" s="249"/>
      <c r="G411" s="240"/>
      <c r="H411" s="190"/>
      <c r="I411" s="190"/>
      <c r="J411" s="238">
        <v>270</v>
      </c>
      <c r="K411" s="104">
        <f t="shared" ref="K411:K421" si="344">J411*F411</f>
        <v>0</v>
      </c>
      <c r="L411" s="238">
        <f>J411+J411*5%</f>
        <v>283.5</v>
      </c>
      <c r="M411" s="104">
        <f t="shared" ref="M411:M421" si="345">F411*L411</f>
        <v>0</v>
      </c>
      <c r="N411" s="238">
        <f>J411+J411*10%</f>
        <v>297</v>
      </c>
      <c r="O411" s="104">
        <f t="shared" ref="O411:O421" si="346">F411*N411</f>
        <v>0</v>
      </c>
      <c r="P411" s="238">
        <f>J411+J411*15%</f>
        <v>310.5</v>
      </c>
      <c r="Q411" s="104">
        <f t="shared" ref="Q411:Q421" si="347">F411*P411</f>
        <v>0</v>
      </c>
      <c r="R411" s="238">
        <f>J411+J411*25%</f>
        <v>337.5</v>
      </c>
      <c r="S411" s="104">
        <f t="shared" ref="S411:S421" si="348">F411*R411</f>
        <v>0</v>
      </c>
      <c r="T411" s="105">
        <v>44</v>
      </c>
      <c r="U411" s="105">
        <f t="shared" ref="U411:U421" si="349">T411*F411</f>
        <v>0</v>
      </c>
      <c r="V411" s="106"/>
      <c r="W411" s="301">
        <v>510</v>
      </c>
      <c r="Y411" s="567">
        <v>24</v>
      </c>
      <c r="Z411" s="189"/>
      <c r="AA411" s="773"/>
      <c r="AB411" s="540"/>
      <c r="AC411" s="540"/>
      <c r="AD411" s="712"/>
      <c r="AE411" s="712"/>
      <c r="AF411" s="700"/>
      <c r="AG411" s="700"/>
      <c r="AH411" s="547" t="s">
        <v>2214</v>
      </c>
      <c r="AI411" s="478"/>
      <c r="AJ411" s="189"/>
      <c r="AK411" s="568">
        <v>3301909000</v>
      </c>
      <c r="AM411" s="632"/>
      <c r="AN411" s="633"/>
      <c r="AO411" s="633"/>
      <c r="AP411" s="616" t="s">
        <v>2215</v>
      </c>
      <c r="AQ411" s="667"/>
      <c r="AR411" s="634"/>
      <c r="AS411" s="635"/>
      <c r="AU411" s="189"/>
      <c r="AV411" s="189"/>
      <c r="AW411" s="189"/>
      <c r="AX411" s="521">
        <f>80*31*31/1000000000</f>
        <v>7.6879999999999996E-5</v>
      </c>
      <c r="AY411" s="507"/>
      <c r="AZ411" s="189"/>
      <c r="BA411" s="189"/>
      <c r="BB411" s="189"/>
      <c r="BC411" s="517"/>
      <c r="BD411" s="189"/>
      <c r="BF411" s="445"/>
    </row>
    <row r="412" spans="1:58" ht="21" customHeight="1">
      <c r="A412" s="116">
        <v>4620748861419</v>
      </c>
      <c r="B412" s="100">
        <v>1789</v>
      </c>
      <c r="C412" s="253" t="s">
        <v>2216</v>
      </c>
      <c r="D412" s="830"/>
      <c r="E412" s="101" t="s">
        <v>510</v>
      </c>
      <c r="F412" s="249"/>
      <c r="G412" s="240"/>
      <c r="H412" s="190"/>
      <c r="I412" s="190"/>
      <c r="J412" s="238">
        <v>265</v>
      </c>
      <c r="K412" s="104">
        <f t="shared" si="344"/>
        <v>0</v>
      </c>
      <c r="L412" s="238">
        <f t="shared" ref="L412:L421" si="350">J412+J412*5%</f>
        <v>278.25</v>
      </c>
      <c r="M412" s="104">
        <f t="shared" si="345"/>
        <v>0</v>
      </c>
      <c r="N412" s="238">
        <f t="shared" ref="N412:N421" si="351">J412+J412*10%</f>
        <v>291.5</v>
      </c>
      <c r="O412" s="104">
        <f t="shared" si="346"/>
        <v>0</v>
      </c>
      <c r="P412" s="238">
        <f t="shared" ref="P412:P421" si="352">J412+J412*15%</f>
        <v>304.75</v>
      </c>
      <c r="Q412" s="104">
        <f t="shared" si="347"/>
        <v>0</v>
      </c>
      <c r="R412" s="238">
        <f t="shared" ref="R412:R421" si="353">J412+J412*25%</f>
        <v>331.25</v>
      </c>
      <c r="S412" s="104">
        <f t="shared" si="348"/>
        <v>0</v>
      </c>
      <c r="T412" s="105">
        <v>44</v>
      </c>
      <c r="U412" s="105">
        <f t="shared" si="349"/>
        <v>0</v>
      </c>
      <c r="V412" s="106"/>
      <c r="W412" s="301">
        <v>500</v>
      </c>
      <c r="Y412" s="567">
        <v>24</v>
      </c>
      <c r="Z412" s="189"/>
      <c r="AA412" s="773"/>
      <c r="AB412" s="540"/>
      <c r="AC412" s="540"/>
      <c r="AD412" s="712"/>
      <c r="AE412" s="712"/>
      <c r="AF412" s="700"/>
      <c r="AG412" s="700"/>
      <c r="AH412" s="547" t="s">
        <v>2214</v>
      </c>
      <c r="AI412" s="478"/>
      <c r="AJ412" s="189"/>
      <c r="AK412" s="568">
        <v>3301909000</v>
      </c>
      <c r="AM412" s="632"/>
      <c r="AN412" s="633"/>
      <c r="AO412" s="633"/>
      <c r="AP412" s="616" t="s">
        <v>2217</v>
      </c>
      <c r="AQ412" s="667"/>
      <c r="AR412" s="634"/>
      <c r="AS412" s="635"/>
      <c r="AU412" s="189"/>
      <c r="AV412" s="189"/>
      <c r="AW412" s="189"/>
      <c r="AX412" s="521">
        <f>80*31*31/1000000000</f>
        <v>7.6879999999999996E-5</v>
      </c>
      <c r="AY412" s="507"/>
      <c r="AZ412" s="189"/>
      <c r="BA412" s="189"/>
      <c r="BB412" s="189"/>
      <c r="BC412" s="517"/>
      <c r="BD412" s="189"/>
      <c r="BF412" s="445"/>
    </row>
    <row r="413" spans="1:58" ht="21" customHeight="1">
      <c r="A413" s="116">
        <v>4620748861426</v>
      </c>
      <c r="B413" s="100">
        <v>1791</v>
      </c>
      <c r="C413" s="253" t="s">
        <v>2218</v>
      </c>
      <c r="D413" s="830"/>
      <c r="E413" s="101" t="s">
        <v>510</v>
      </c>
      <c r="F413" s="249"/>
      <c r="G413" s="240"/>
      <c r="H413" s="190"/>
      <c r="I413" s="190"/>
      <c r="J413" s="238">
        <v>255</v>
      </c>
      <c r="K413" s="104">
        <f t="shared" si="344"/>
        <v>0</v>
      </c>
      <c r="L413" s="238">
        <f t="shared" si="350"/>
        <v>267.75</v>
      </c>
      <c r="M413" s="104">
        <f t="shared" si="345"/>
        <v>0</v>
      </c>
      <c r="N413" s="238">
        <f t="shared" si="351"/>
        <v>280.5</v>
      </c>
      <c r="O413" s="104">
        <f t="shared" si="346"/>
        <v>0</v>
      </c>
      <c r="P413" s="238">
        <f t="shared" si="352"/>
        <v>293.25</v>
      </c>
      <c r="Q413" s="104">
        <f t="shared" si="347"/>
        <v>0</v>
      </c>
      <c r="R413" s="238">
        <f t="shared" si="353"/>
        <v>318.75</v>
      </c>
      <c r="S413" s="104">
        <f t="shared" si="348"/>
        <v>0</v>
      </c>
      <c r="T413" s="105">
        <v>44</v>
      </c>
      <c r="U413" s="105">
        <f t="shared" si="349"/>
        <v>0</v>
      </c>
      <c r="V413" s="106"/>
      <c r="W413" s="301">
        <v>480</v>
      </c>
      <c r="Y413" s="567">
        <v>24</v>
      </c>
      <c r="Z413" s="189"/>
      <c r="AA413" s="773"/>
      <c r="AB413" s="540"/>
      <c r="AC413" s="540"/>
      <c r="AD413" s="712"/>
      <c r="AE413" s="712"/>
      <c r="AF413" s="700"/>
      <c r="AG413" s="700"/>
      <c r="AH413" s="547" t="s">
        <v>2214</v>
      </c>
      <c r="AI413" s="478"/>
      <c r="AJ413" s="189"/>
      <c r="AK413" s="568">
        <v>3301909000</v>
      </c>
      <c r="AM413" s="610" t="s">
        <v>2219</v>
      </c>
      <c r="AN413" s="611" t="s">
        <v>2220</v>
      </c>
      <c r="AO413" s="611" t="s">
        <v>2221</v>
      </c>
      <c r="AP413" s="616" t="s">
        <v>2222</v>
      </c>
      <c r="AQ413" s="667"/>
      <c r="AR413" s="634"/>
      <c r="AS413" s="635"/>
      <c r="AU413" s="189"/>
      <c r="AV413" s="189"/>
      <c r="AW413" s="189"/>
      <c r="AX413" s="521">
        <f>80*31*31/1000000000</f>
        <v>7.6879999999999996E-5</v>
      </c>
      <c r="AY413" s="507"/>
      <c r="AZ413" s="189"/>
      <c r="BA413" s="189"/>
      <c r="BB413" s="189"/>
      <c r="BC413" s="517"/>
      <c r="BD413" s="189"/>
      <c r="BF413" s="445"/>
    </row>
    <row r="414" spans="1:58" ht="21" customHeight="1">
      <c r="A414" s="116">
        <v>4620748861389</v>
      </c>
      <c r="B414" s="416">
        <v>1792</v>
      </c>
      <c r="C414" s="253" t="s">
        <v>2223</v>
      </c>
      <c r="D414" s="830"/>
      <c r="E414" s="101" t="s">
        <v>510</v>
      </c>
      <c r="F414" s="249"/>
      <c r="G414" s="240"/>
      <c r="H414" s="190"/>
      <c r="I414" s="190"/>
      <c r="J414" s="238">
        <v>420</v>
      </c>
      <c r="K414" s="104">
        <f t="shared" si="344"/>
        <v>0</v>
      </c>
      <c r="L414" s="238">
        <f t="shared" si="350"/>
        <v>441</v>
      </c>
      <c r="M414" s="104">
        <f t="shared" si="345"/>
        <v>0</v>
      </c>
      <c r="N414" s="238">
        <f t="shared" si="351"/>
        <v>462</v>
      </c>
      <c r="O414" s="104">
        <f t="shared" si="346"/>
        <v>0</v>
      </c>
      <c r="P414" s="238">
        <f t="shared" si="352"/>
        <v>483</v>
      </c>
      <c r="Q414" s="104">
        <f t="shared" si="347"/>
        <v>0</v>
      </c>
      <c r="R414" s="238">
        <f t="shared" si="353"/>
        <v>525</v>
      </c>
      <c r="S414" s="104">
        <f t="shared" si="348"/>
        <v>0</v>
      </c>
      <c r="T414" s="105">
        <v>44</v>
      </c>
      <c r="U414" s="105">
        <f t="shared" si="349"/>
        <v>0</v>
      </c>
      <c r="V414" s="106"/>
      <c r="W414" s="301">
        <v>795</v>
      </c>
      <c r="Y414" s="567"/>
      <c r="Z414" s="189"/>
      <c r="AA414" s="773"/>
      <c r="AB414" s="540"/>
      <c r="AC414" s="540"/>
      <c r="AD414" s="712"/>
      <c r="AE414" s="712"/>
      <c r="AF414" s="700"/>
      <c r="AG414" s="700"/>
      <c r="AH414" s="547"/>
      <c r="AI414" s="478"/>
      <c r="AJ414" s="189"/>
      <c r="AK414" s="568">
        <v>3301909000</v>
      </c>
      <c r="AM414" s="610" t="s">
        <v>2224</v>
      </c>
      <c r="AN414" s="611" t="s">
        <v>2225</v>
      </c>
      <c r="AO414" s="611" t="s">
        <v>2221</v>
      </c>
      <c r="AP414" s="616" t="s">
        <v>2226</v>
      </c>
      <c r="AQ414" s="667"/>
      <c r="AR414" s="634"/>
      <c r="AS414" s="635"/>
      <c r="AU414" s="189"/>
      <c r="AV414" s="189"/>
      <c r="AW414" s="189"/>
      <c r="AX414" s="521"/>
      <c r="AY414" s="507"/>
      <c r="AZ414" s="189"/>
      <c r="BA414" s="189"/>
      <c r="BB414" s="189"/>
      <c r="BC414" s="517"/>
      <c r="BD414" s="189"/>
      <c r="BF414" s="445"/>
    </row>
    <row r="415" spans="1:58" ht="21" customHeight="1">
      <c r="A415" s="116">
        <v>4620748861440</v>
      </c>
      <c r="B415" s="100">
        <v>1794</v>
      </c>
      <c r="C415" s="253" t="s">
        <v>2227</v>
      </c>
      <c r="D415" s="830"/>
      <c r="E415" s="101" t="s">
        <v>510</v>
      </c>
      <c r="F415" s="249"/>
      <c r="G415" s="240"/>
      <c r="H415" s="190"/>
      <c r="I415" s="190"/>
      <c r="J415" s="238">
        <v>775</v>
      </c>
      <c r="K415" s="104">
        <f t="shared" si="344"/>
        <v>0</v>
      </c>
      <c r="L415" s="238">
        <f t="shared" si="350"/>
        <v>813.75</v>
      </c>
      <c r="M415" s="104">
        <f t="shared" si="345"/>
        <v>0</v>
      </c>
      <c r="N415" s="238">
        <f t="shared" si="351"/>
        <v>852.5</v>
      </c>
      <c r="O415" s="104">
        <f t="shared" si="346"/>
        <v>0</v>
      </c>
      <c r="P415" s="238">
        <f t="shared" si="352"/>
        <v>891.25</v>
      </c>
      <c r="Q415" s="104">
        <f t="shared" si="347"/>
        <v>0</v>
      </c>
      <c r="R415" s="238">
        <f t="shared" si="353"/>
        <v>968.75</v>
      </c>
      <c r="S415" s="104">
        <f t="shared" si="348"/>
        <v>0</v>
      </c>
      <c r="T415" s="105">
        <v>44</v>
      </c>
      <c r="U415" s="105">
        <f t="shared" si="349"/>
        <v>0</v>
      </c>
      <c r="V415" s="106"/>
      <c r="W415" s="301">
        <v>1470</v>
      </c>
      <c r="Y415" s="567">
        <v>24</v>
      </c>
      <c r="Z415" s="189"/>
      <c r="AA415" s="773"/>
      <c r="AB415" s="540"/>
      <c r="AC415" s="540"/>
      <c r="AD415" s="712"/>
      <c r="AE415" s="712"/>
      <c r="AF415" s="700"/>
      <c r="AG415" s="700"/>
      <c r="AH415" s="547" t="s">
        <v>2214</v>
      </c>
      <c r="AI415" s="478"/>
      <c r="AJ415" s="189"/>
      <c r="AK415" s="568">
        <v>3301909000</v>
      </c>
      <c r="AM415" s="632"/>
      <c r="AN415" s="633"/>
      <c r="AO415" s="633"/>
      <c r="AP415" s="616" t="s">
        <v>2228</v>
      </c>
      <c r="AQ415" s="667"/>
      <c r="AR415" s="634"/>
      <c r="AS415" s="635"/>
      <c r="AU415" s="189"/>
      <c r="AV415" s="189"/>
      <c r="AW415" s="189"/>
      <c r="AX415" s="521">
        <f t="shared" ref="AX415:AX421" si="354">80*31*31/1000000000</f>
        <v>7.6879999999999996E-5</v>
      </c>
      <c r="AY415" s="507"/>
      <c r="AZ415" s="189"/>
      <c r="BA415" s="189"/>
      <c r="BB415" s="189"/>
      <c r="BC415" s="517"/>
      <c r="BD415" s="189"/>
      <c r="BF415" s="445"/>
    </row>
    <row r="416" spans="1:58" ht="18" customHeight="1">
      <c r="A416" s="116">
        <v>4620748862577</v>
      </c>
      <c r="B416" s="100">
        <v>1795</v>
      </c>
      <c r="C416" s="253" t="s">
        <v>2229</v>
      </c>
      <c r="D416" s="830"/>
      <c r="E416" s="101" t="s">
        <v>510</v>
      </c>
      <c r="F416" s="249"/>
      <c r="G416" s="240"/>
      <c r="H416" s="190"/>
      <c r="I416" s="190"/>
      <c r="J416" s="238">
        <v>280</v>
      </c>
      <c r="K416" s="104">
        <f t="shared" si="344"/>
        <v>0</v>
      </c>
      <c r="L416" s="238">
        <f t="shared" si="350"/>
        <v>294</v>
      </c>
      <c r="M416" s="104">
        <f t="shared" si="345"/>
        <v>0</v>
      </c>
      <c r="N416" s="238">
        <f t="shared" si="351"/>
        <v>308</v>
      </c>
      <c r="O416" s="104">
        <f t="shared" si="346"/>
        <v>0</v>
      </c>
      <c r="P416" s="238">
        <f t="shared" si="352"/>
        <v>322</v>
      </c>
      <c r="Q416" s="104">
        <f t="shared" si="347"/>
        <v>0</v>
      </c>
      <c r="R416" s="238">
        <f t="shared" si="353"/>
        <v>350</v>
      </c>
      <c r="S416" s="104">
        <f t="shared" si="348"/>
        <v>0</v>
      </c>
      <c r="T416" s="105">
        <v>44</v>
      </c>
      <c r="U416" s="105">
        <f t="shared" si="349"/>
        <v>0</v>
      </c>
      <c r="V416" s="106"/>
      <c r="W416" s="301">
        <v>530</v>
      </c>
      <c r="Y416" s="567">
        <v>24</v>
      </c>
      <c r="Z416" s="189"/>
      <c r="AA416" s="773"/>
      <c r="AB416" s="540"/>
      <c r="AC416" s="540"/>
      <c r="AD416" s="712"/>
      <c r="AE416" s="712"/>
      <c r="AF416" s="700"/>
      <c r="AG416" s="700"/>
      <c r="AH416" s="547" t="s">
        <v>2214</v>
      </c>
      <c r="AI416" s="478"/>
      <c r="AJ416" s="189"/>
      <c r="AK416" s="568">
        <v>3301909000</v>
      </c>
      <c r="AM416" s="632"/>
      <c r="AN416" s="633"/>
      <c r="AO416" s="633"/>
      <c r="AP416" s="616" t="s">
        <v>2230</v>
      </c>
      <c r="AQ416" s="667"/>
      <c r="AR416" s="634"/>
      <c r="AS416" s="635"/>
      <c r="AU416" s="189"/>
      <c r="AV416" s="189"/>
      <c r="AW416" s="189"/>
      <c r="AX416" s="521">
        <f t="shared" si="354"/>
        <v>7.6879999999999996E-5</v>
      </c>
      <c r="AY416" s="507"/>
      <c r="AZ416" s="189"/>
      <c r="BA416" s="189"/>
      <c r="BB416" s="189"/>
      <c r="BC416" s="517"/>
      <c r="BD416" s="189"/>
      <c r="BF416" s="445"/>
    </row>
    <row r="417" spans="1:58" ht="21" customHeight="1">
      <c r="A417" s="116">
        <v>4620748861457</v>
      </c>
      <c r="B417" s="100">
        <v>1797</v>
      </c>
      <c r="C417" s="253" t="s">
        <v>2231</v>
      </c>
      <c r="D417" s="830"/>
      <c r="E417" s="101" t="s">
        <v>510</v>
      </c>
      <c r="F417" s="249"/>
      <c r="G417" s="240"/>
      <c r="H417" s="190"/>
      <c r="I417" s="190"/>
      <c r="J417" s="238">
        <v>375</v>
      </c>
      <c r="K417" s="104">
        <f t="shared" si="344"/>
        <v>0</v>
      </c>
      <c r="L417" s="238">
        <f t="shared" si="350"/>
        <v>393.75</v>
      </c>
      <c r="M417" s="104">
        <f t="shared" si="345"/>
        <v>0</v>
      </c>
      <c r="N417" s="238">
        <f t="shared" si="351"/>
        <v>412.5</v>
      </c>
      <c r="O417" s="104">
        <f t="shared" si="346"/>
        <v>0</v>
      </c>
      <c r="P417" s="238">
        <f t="shared" si="352"/>
        <v>431.25</v>
      </c>
      <c r="Q417" s="104">
        <f t="shared" si="347"/>
        <v>0</v>
      </c>
      <c r="R417" s="238">
        <f t="shared" si="353"/>
        <v>468.75</v>
      </c>
      <c r="S417" s="104">
        <f t="shared" si="348"/>
        <v>0</v>
      </c>
      <c r="T417" s="105">
        <v>44</v>
      </c>
      <c r="U417" s="105">
        <f t="shared" si="349"/>
        <v>0</v>
      </c>
      <c r="V417" s="106"/>
      <c r="W417" s="301">
        <v>710</v>
      </c>
      <c r="Y417" s="567">
        <v>24</v>
      </c>
      <c r="Z417" s="189"/>
      <c r="AA417" s="773"/>
      <c r="AB417" s="540"/>
      <c r="AC417" s="540"/>
      <c r="AD417" s="712"/>
      <c r="AE417" s="712"/>
      <c r="AF417" s="700"/>
      <c r="AG417" s="700"/>
      <c r="AH417" s="547" t="s">
        <v>2214</v>
      </c>
      <c r="AI417" s="478"/>
      <c r="AJ417" s="189"/>
      <c r="AK417" s="568">
        <v>3301909000</v>
      </c>
      <c r="AM417" s="632"/>
      <c r="AN417" s="633"/>
      <c r="AO417" s="633"/>
      <c r="AP417" s="616" t="s">
        <v>2232</v>
      </c>
      <c r="AQ417" s="667"/>
      <c r="AR417" s="634"/>
      <c r="AS417" s="635"/>
      <c r="AU417" s="189"/>
      <c r="AV417" s="189"/>
      <c r="AW417" s="189"/>
      <c r="AX417" s="521">
        <f t="shared" si="354"/>
        <v>7.6879999999999996E-5</v>
      </c>
      <c r="AY417" s="507"/>
      <c r="AZ417" s="189"/>
      <c r="BA417" s="189"/>
      <c r="BB417" s="189"/>
      <c r="BC417" s="517"/>
      <c r="BD417" s="189"/>
      <c r="BF417" s="445"/>
    </row>
    <row r="418" spans="1:58" ht="20.25" customHeight="1">
      <c r="A418" s="116">
        <v>4620748862607</v>
      </c>
      <c r="B418" s="100">
        <v>1798</v>
      </c>
      <c r="C418" s="253" t="s">
        <v>2233</v>
      </c>
      <c r="D418" s="830"/>
      <c r="E418" s="101" t="s">
        <v>510</v>
      </c>
      <c r="F418" s="249"/>
      <c r="G418" s="240"/>
      <c r="H418" s="190"/>
      <c r="I418" s="190"/>
      <c r="J418" s="238">
        <v>415</v>
      </c>
      <c r="K418" s="104">
        <f t="shared" si="344"/>
        <v>0</v>
      </c>
      <c r="L418" s="238">
        <f t="shared" si="350"/>
        <v>435.75</v>
      </c>
      <c r="M418" s="104">
        <f t="shared" si="345"/>
        <v>0</v>
      </c>
      <c r="N418" s="238">
        <f t="shared" si="351"/>
        <v>456.5</v>
      </c>
      <c r="O418" s="104">
        <f t="shared" si="346"/>
        <v>0</v>
      </c>
      <c r="P418" s="238">
        <f t="shared" si="352"/>
        <v>477.25</v>
      </c>
      <c r="Q418" s="104">
        <f t="shared" si="347"/>
        <v>0</v>
      </c>
      <c r="R418" s="238">
        <f t="shared" si="353"/>
        <v>518.75</v>
      </c>
      <c r="S418" s="104">
        <f t="shared" si="348"/>
        <v>0</v>
      </c>
      <c r="T418" s="105">
        <v>44</v>
      </c>
      <c r="U418" s="105">
        <f t="shared" si="349"/>
        <v>0</v>
      </c>
      <c r="V418" s="106"/>
      <c r="W418" s="301">
        <v>785</v>
      </c>
      <c r="Y418" s="567">
        <v>24</v>
      </c>
      <c r="Z418" s="189"/>
      <c r="AA418" s="773"/>
      <c r="AB418" s="540"/>
      <c r="AC418" s="540"/>
      <c r="AD418" s="712"/>
      <c r="AE418" s="712"/>
      <c r="AF418" s="700"/>
      <c r="AG418" s="700"/>
      <c r="AH418" s="547" t="s">
        <v>2214</v>
      </c>
      <c r="AI418" s="478"/>
      <c r="AJ418" s="189"/>
      <c r="AK418" s="568">
        <v>3301909000</v>
      </c>
      <c r="AM418" s="632"/>
      <c r="AN418" s="633"/>
      <c r="AO418" s="633"/>
      <c r="AP418" s="616" t="s">
        <v>2234</v>
      </c>
      <c r="AQ418" s="667"/>
      <c r="AR418" s="634"/>
      <c r="AS418" s="635"/>
      <c r="AU418" s="189"/>
      <c r="AV418" s="189"/>
      <c r="AW418" s="189"/>
      <c r="AX418" s="521">
        <f t="shared" si="354"/>
        <v>7.6879999999999996E-5</v>
      </c>
      <c r="AY418" s="507"/>
      <c r="AZ418" s="189"/>
      <c r="BA418" s="189"/>
      <c r="BB418" s="189"/>
      <c r="BC418" s="517"/>
      <c r="BD418" s="189"/>
      <c r="BF418" s="445"/>
    </row>
    <row r="419" spans="1:58" ht="20.25" customHeight="1">
      <c r="A419" s="116">
        <v>4620748861372</v>
      </c>
      <c r="B419" s="100">
        <v>1799</v>
      </c>
      <c r="C419" s="253" t="s">
        <v>2235</v>
      </c>
      <c r="D419" s="830"/>
      <c r="E419" s="101" t="s">
        <v>510</v>
      </c>
      <c r="F419" s="249"/>
      <c r="G419" s="240"/>
      <c r="H419" s="190"/>
      <c r="I419" s="190"/>
      <c r="J419" s="238">
        <v>255</v>
      </c>
      <c r="K419" s="104">
        <f t="shared" si="344"/>
        <v>0</v>
      </c>
      <c r="L419" s="238">
        <f t="shared" si="350"/>
        <v>267.75</v>
      </c>
      <c r="M419" s="104">
        <f t="shared" si="345"/>
        <v>0</v>
      </c>
      <c r="N419" s="238">
        <f t="shared" si="351"/>
        <v>280.5</v>
      </c>
      <c r="O419" s="104">
        <f t="shared" si="346"/>
        <v>0</v>
      </c>
      <c r="P419" s="238">
        <f t="shared" si="352"/>
        <v>293.25</v>
      </c>
      <c r="Q419" s="104">
        <f t="shared" si="347"/>
        <v>0</v>
      </c>
      <c r="R419" s="238">
        <f t="shared" si="353"/>
        <v>318.75</v>
      </c>
      <c r="S419" s="104">
        <f t="shared" si="348"/>
        <v>0</v>
      </c>
      <c r="T419" s="105">
        <v>44</v>
      </c>
      <c r="U419" s="105">
        <f t="shared" si="349"/>
        <v>0</v>
      </c>
      <c r="V419" s="106"/>
      <c r="W419" s="301">
        <v>480</v>
      </c>
      <c r="Y419" s="567">
        <v>24</v>
      </c>
      <c r="Z419" s="189"/>
      <c r="AA419" s="773"/>
      <c r="AB419" s="540"/>
      <c r="AC419" s="540"/>
      <c r="AD419" s="712"/>
      <c r="AE419" s="712"/>
      <c r="AF419" s="700"/>
      <c r="AG419" s="700"/>
      <c r="AH419" s="547" t="s">
        <v>2214</v>
      </c>
      <c r="AI419" s="478"/>
      <c r="AJ419" s="189"/>
      <c r="AK419" s="568">
        <v>3301909000</v>
      </c>
      <c r="AM419" s="610" t="s">
        <v>2236</v>
      </c>
      <c r="AN419" s="611" t="s">
        <v>2237</v>
      </c>
      <c r="AO419" s="611" t="s">
        <v>2221</v>
      </c>
      <c r="AP419" s="616" t="s">
        <v>2238</v>
      </c>
      <c r="AQ419" s="667"/>
      <c r="AR419" s="634"/>
      <c r="AS419" s="635"/>
      <c r="AU419" s="189"/>
      <c r="AV419" s="189"/>
      <c r="AW419" s="189"/>
      <c r="AX419" s="521">
        <f t="shared" si="354"/>
        <v>7.6879999999999996E-5</v>
      </c>
      <c r="AY419" s="507"/>
      <c r="AZ419" s="189"/>
      <c r="BA419" s="189"/>
      <c r="BB419" s="189"/>
      <c r="BC419" s="517"/>
      <c r="BD419" s="189"/>
      <c r="BF419" s="445"/>
    </row>
    <row r="420" spans="1:58" ht="21" customHeight="1">
      <c r="A420" s="116">
        <v>4620748861402</v>
      </c>
      <c r="B420" s="100">
        <v>1800</v>
      </c>
      <c r="C420" s="253" t="s">
        <v>2239</v>
      </c>
      <c r="D420" s="830"/>
      <c r="E420" s="101" t="s">
        <v>510</v>
      </c>
      <c r="F420" s="249"/>
      <c r="G420" s="240"/>
      <c r="H420" s="190"/>
      <c r="I420" s="190"/>
      <c r="J420" s="238">
        <v>415</v>
      </c>
      <c r="K420" s="104">
        <f t="shared" si="344"/>
        <v>0</v>
      </c>
      <c r="L420" s="238">
        <f t="shared" si="350"/>
        <v>435.75</v>
      </c>
      <c r="M420" s="104">
        <f t="shared" si="345"/>
        <v>0</v>
      </c>
      <c r="N420" s="238">
        <f t="shared" si="351"/>
        <v>456.5</v>
      </c>
      <c r="O420" s="104">
        <f t="shared" si="346"/>
        <v>0</v>
      </c>
      <c r="P420" s="238">
        <f t="shared" si="352"/>
        <v>477.25</v>
      </c>
      <c r="Q420" s="104">
        <f t="shared" si="347"/>
        <v>0</v>
      </c>
      <c r="R420" s="238">
        <f t="shared" si="353"/>
        <v>518.75</v>
      </c>
      <c r="S420" s="104">
        <f t="shared" si="348"/>
        <v>0</v>
      </c>
      <c r="T420" s="105">
        <v>44</v>
      </c>
      <c r="U420" s="105">
        <f t="shared" si="349"/>
        <v>0</v>
      </c>
      <c r="V420" s="106"/>
      <c r="W420" s="301">
        <v>785</v>
      </c>
      <c r="Y420" s="567">
        <v>24</v>
      </c>
      <c r="Z420" s="189"/>
      <c r="AA420" s="773"/>
      <c r="AB420" s="540"/>
      <c r="AC420" s="540"/>
      <c r="AD420" s="712"/>
      <c r="AE420" s="712"/>
      <c r="AF420" s="700"/>
      <c r="AG420" s="700"/>
      <c r="AH420" s="547" t="s">
        <v>2214</v>
      </c>
      <c r="AI420" s="478"/>
      <c r="AJ420" s="189"/>
      <c r="AK420" s="568">
        <v>3301909000</v>
      </c>
      <c r="AM420" s="632"/>
      <c r="AN420" s="633"/>
      <c r="AO420" s="633"/>
      <c r="AP420" s="616" t="s">
        <v>2240</v>
      </c>
      <c r="AQ420" s="667"/>
      <c r="AR420" s="634"/>
      <c r="AS420" s="635"/>
      <c r="AU420" s="189"/>
      <c r="AV420" s="189"/>
      <c r="AW420" s="189"/>
      <c r="AX420" s="521">
        <f t="shared" si="354"/>
        <v>7.6879999999999996E-5</v>
      </c>
      <c r="AY420" s="507"/>
      <c r="AZ420" s="189"/>
      <c r="BA420" s="189"/>
      <c r="BB420" s="189"/>
      <c r="BC420" s="517"/>
      <c r="BD420" s="189"/>
      <c r="BF420" s="445"/>
    </row>
    <row r="421" spans="1:58" ht="20.25" customHeight="1">
      <c r="A421" s="116">
        <v>4620748861464</v>
      </c>
      <c r="B421" s="100">
        <v>1801</v>
      </c>
      <c r="C421" s="253" t="s">
        <v>2241</v>
      </c>
      <c r="D421" s="830"/>
      <c r="E421" s="101" t="s">
        <v>510</v>
      </c>
      <c r="F421" s="249"/>
      <c r="G421" s="240"/>
      <c r="H421" s="190"/>
      <c r="I421" s="190"/>
      <c r="J421" s="238">
        <v>320</v>
      </c>
      <c r="K421" s="104">
        <f t="shared" si="344"/>
        <v>0</v>
      </c>
      <c r="L421" s="238">
        <f t="shared" si="350"/>
        <v>336</v>
      </c>
      <c r="M421" s="104">
        <f t="shared" si="345"/>
        <v>0</v>
      </c>
      <c r="N421" s="238">
        <f t="shared" si="351"/>
        <v>352</v>
      </c>
      <c r="O421" s="104">
        <f t="shared" si="346"/>
        <v>0</v>
      </c>
      <c r="P421" s="238">
        <f t="shared" si="352"/>
        <v>368</v>
      </c>
      <c r="Q421" s="104">
        <f t="shared" si="347"/>
        <v>0</v>
      </c>
      <c r="R421" s="238">
        <f t="shared" si="353"/>
        <v>400</v>
      </c>
      <c r="S421" s="104">
        <f t="shared" si="348"/>
        <v>0</v>
      </c>
      <c r="T421" s="105">
        <v>44</v>
      </c>
      <c r="U421" s="105">
        <f t="shared" si="349"/>
        <v>0</v>
      </c>
      <c r="V421" s="106"/>
      <c r="W421" s="301">
        <v>605</v>
      </c>
      <c r="Y421" s="567">
        <v>24</v>
      </c>
      <c r="Z421" s="189"/>
      <c r="AA421" s="773"/>
      <c r="AB421" s="540"/>
      <c r="AC421" s="540"/>
      <c r="AD421" s="712"/>
      <c r="AE421" s="712"/>
      <c r="AF421" s="700"/>
      <c r="AG421" s="700"/>
      <c r="AH421" s="547" t="s">
        <v>2214</v>
      </c>
      <c r="AI421" s="478"/>
      <c r="AJ421" s="189"/>
      <c r="AK421" s="568">
        <v>3301909000</v>
      </c>
      <c r="AM421" s="632"/>
      <c r="AN421" s="633"/>
      <c r="AO421" s="633"/>
      <c r="AP421" s="616" t="s">
        <v>2242</v>
      </c>
      <c r="AQ421" s="667"/>
      <c r="AR421" s="634"/>
      <c r="AS421" s="635"/>
      <c r="AU421" s="189"/>
      <c r="AV421" s="189"/>
      <c r="AW421" s="189"/>
      <c r="AX421" s="521">
        <f t="shared" si="354"/>
        <v>7.6879999999999996E-5</v>
      </c>
      <c r="AY421" s="507"/>
      <c r="AZ421" s="189"/>
      <c r="BA421" s="189"/>
      <c r="BB421" s="189"/>
      <c r="BC421" s="517"/>
      <c r="BD421" s="189"/>
      <c r="BF421" s="445"/>
    </row>
    <row r="422" spans="1:58" ht="23.25" customHeight="1">
      <c r="A422" s="485" t="s">
        <v>156</v>
      </c>
      <c r="B422" s="333"/>
      <c r="C422" s="334" t="s">
        <v>2243</v>
      </c>
      <c r="D422" s="828"/>
      <c r="E422" s="335"/>
      <c r="F422" s="491"/>
      <c r="G422" s="360"/>
      <c r="H422" s="360"/>
      <c r="I422" s="360"/>
      <c r="J422" s="357"/>
      <c r="K422" s="488">
        <f>K423+K424+K425+K426+K427+K428</f>
        <v>0</v>
      </c>
      <c r="L422" s="489"/>
      <c r="M422" s="488">
        <f>M423+M424+M425+M426+M427+M428</f>
        <v>0</v>
      </c>
      <c r="N422" s="489"/>
      <c r="O422" s="488">
        <f>O423+O424+O425+O426+O427+O428</f>
        <v>0</v>
      </c>
      <c r="P422" s="489"/>
      <c r="Q422" s="488">
        <f>Q423+Q424+Q425+Q426+Q427+Q428</f>
        <v>0</v>
      </c>
      <c r="R422" s="489"/>
      <c r="S422" s="488">
        <f>S423+S424+S425+S426+S427+S428</f>
        <v>0</v>
      </c>
      <c r="T422" s="313"/>
      <c r="U422" s="313">
        <f>U423+U424+U425+U426+U427+U428</f>
        <v>0</v>
      </c>
      <c r="V422" s="293"/>
      <c r="W422" s="293"/>
      <c r="Y422" s="562"/>
      <c r="Z422" s="293"/>
      <c r="AA422" s="772"/>
      <c r="AB422" s="543"/>
      <c r="AC422" s="543"/>
      <c r="AD422" s="716"/>
      <c r="AE422" s="716"/>
      <c r="AF422" s="701"/>
      <c r="AG422" s="701"/>
      <c r="AH422" s="546"/>
      <c r="AI422" s="675"/>
      <c r="AJ422" s="293"/>
      <c r="AK422" s="563"/>
      <c r="AL422" s="554"/>
      <c r="AM422" s="562"/>
      <c r="AN422" s="293"/>
      <c r="AO422" s="293"/>
      <c r="AP422" s="293"/>
      <c r="AQ422" s="293"/>
      <c r="AR422" s="293"/>
      <c r="AS422" s="563"/>
      <c r="AU422" s="293"/>
      <c r="AV422" s="293"/>
      <c r="AW422" s="293"/>
      <c r="AX422" s="293"/>
      <c r="AY422" s="293"/>
      <c r="AZ422" s="293"/>
      <c r="BA422" s="293"/>
      <c r="BB422" s="293"/>
      <c r="BC422" s="293"/>
      <c r="BD422" s="293"/>
      <c r="BF422" s="445"/>
    </row>
    <row r="423" spans="1:58" ht="19.5" customHeight="1">
      <c r="A423" s="116">
        <v>4627101821844</v>
      </c>
      <c r="B423" s="100">
        <v>1336</v>
      </c>
      <c r="C423" s="253" t="s">
        <v>2244</v>
      </c>
      <c r="D423" s="830"/>
      <c r="E423" s="101" t="s">
        <v>222</v>
      </c>
      <c r="F423" s="249"/>
      <c r="G423" s="240"/>
      <c r="H423" s="190"/>
      <c r="I423" s="190"/>
      <c r="J423" s="238">
        <v>80</v>
      </c>
      <c r="K423" s="104">
        <f t="shared" ref="K423:K428" si="355">J423*F423</f>
        <v>0</v>
      </c>
      <c r="L423" s="238">
        <f>J423+J423*5%</f>
        <v>84</v>
      </c>
      <c r="M423" s="104">
        <f>L423*F423</f>
        <v>0</v>
      </c>
      <c r="N423" s="238">
        <f>J423+J423*10%</f>
        <v>88</v>
      </c>
      <c r="O423" s="104">
        <f>N423*F423</f>
        <v>0</v>
      </c>
      <c r="P423" s="238">
        <f>J423+J423*15%</f>
        <v>92</v>
      </c>
      <c r="Q423" s="104">
        <f>P423*F423</f>
        <v>0</v>
      </c>
      <c r="R423" s="238">
        <f>J423+J423*25%</f>
        <v>100</v>
      </c>
      <c r="S423" s="104">
        <f t="shared" ref="S423:S428" si="356">R423*F423</f>
        <v>0</v>
      </c>
      <c r="T423" s="105">
        <v>18</v>
      </c>
      <c r="U423" s="105">
        <f t="shared" ref="U423:U428" si="357">T423*F423</f>
        <v>0</v>
      </c>
      <c r="V423" s="106"/>
      <c r="W423" s="301">
        <v>150</v>
      </c>
      <c r="Y423" s="567">
        <v>12</v>
      </c>
      <c r="Z423" s="189">
        <v>3</v>
      </c>
      <c r="AA423" s="541" t="s">
        <v>2245</v>
      </c>
      <c r="AB423" s="537">
        <v>45148</v>
      </c>
      <c r="AC423" s="537">
        <v>47704</v>
      </c>
      <c r="AD423" s="901" t="s">
        <v>2246</v>
      </c>
      <c r="AE423" s="718"/>
      <c r="AF423" s="700"/>
      <c r="AG423" s="700"/>
      <c r="AH423" s="547" t="s">
        <v>824</v>
      </c>
      <c r="AI423" s="478"/>
      <c r="AJ423" s="189"/>
      <c r="AK423" s="568">
        <v>3304990000</v>
      </c>
      <c r="AM423" s="610" t="s">
        <v>2247</v>
      </c>
      <c r="AN423" s="611" t="s">
        <v>2248</v>
      </c>
      <c r="AO423" s="633"/>
      <c r="AP423" s="616" t="s">
        <v>2249</v>
      </c>
      <c r="AQ423" s="667"/>
      <c r="AR423" s="634"/>
      <c r="AS423" s="635"/>
      <c r="AU423" s="189"/>
      <c r="AV423" s="189"/>
      <c r="AW423" s="189"/>
      <c r="AX423" s="521">
        <f>124*35*35/1000000000</f>
        <v>1.5190000000000001E-4</v>
      </c>
      <c r="AY423" s="507"/>
      <c r="AZ423" s="189"/>
      <c r="BA423" s="189"/>
      <c r="BB423" s="189"/>
      <c r="BC423" s="517"/>
      <c r="BD423" s="189"/>
      <c r="BF423" s="445"/>
    </row>
    <row r="424" spans="1:58" ht="19.5" customHeight="1">
      <c r="A424" s="116">
        <v>4627101826870</v>
      </c>
      <c r="B424" s="100">
        <v>2680</v>
      </c>
      <c r="C424" s="253" t="s">
        <v>2250</v>
      </c>
      <c r="D424" s="830"/>
      <c r="E424" s="101" t="s">
        <v>822</v>
      </c>
      <c r="F424" s="249"/>
      <c r="G424" s="240"/>
      <c r="H424" s="190"/>
      <c r="I424" s="190"/>
      <c r="J424" s="238">
        <v>295</v>
      </c>
      <c r="K424" s="104">
        <f t="shared" si="355"/>
        <v>0</v>
      </c>
      <c r="L424" s="238">
        <f t="shared" ref="L424:L428" si="358">J424+J424*5%</f>
        <v>309.75</v>
      </c>
      <c r="M424" s="104"/>
      <c r="N424" s="238">
        <f t="shared" ref="N424:N428" si="359">J424+J424*10%</f>
        <v>324.5</v>
      </c>
      <c r="O424" s="104"/>
      <c r="P424" s="238">
        <f t="shared" ref="P424:P428" si="360">J424+J424*15%</f>
        <v>339.25</v>
      </c>
      <c r="Q424" s="104"/>
      <c r="R424" s="238">
        <f t="shared" ref="R424:R428" si="361">J424+J424*25%</f>
        <v>368.75</v>
      </c>
      <c r="S424" s="104">
        <f t="shared" si="356"/>
        <v>0</v>
      </c>
      <c r="T424" s="105">
        <v>65</v>
      </c>
      <c r="U424" s="105">
        <f t="shared" si="357"/>
        <v>0</v>
      </c>
      <c r="V424" s="106"/>
      <c r="W424" s="301">
        <v>560</v>
      </c>
      <c r="Y424" s="567">
        <v>12</v>
      </c>
      <c r="Z424" s="189">
        <v>3</v>
      </c>
      <c r="AA424" s="541" t="s">
        <v>2245</v>
      </c>
      <c r="AB424" s="537">
        <v>45148</v>
      </c>
      <c r="AC424" s="537">
        <v>47704</v>
      </c>
      <c r="AD424" s="901" t="s">
        <v>2246</v>
      </c>
      <c r="AE424" s="718"/>
      <c r="AF424" s="700"/>
      <c r="AG424" s="700"/>
      <c r="AH424" s="547"/>
      <c r="AI424" s="478"/>
      <c r="AJ424" s="189"/>
      <c r="AK424" s="568">
        <v>3304990000</v>
      </c>
      <c r="AM424" s="610" t="s">
        <v>2251</v>
      </c>
      <c r="AN424" s="611" t="s">
        <v>2252</v>
      </c>
      <c r="AO424" s="611" t="s">
        <v>2253</v>
      </c>
      <c r="AP424" s="616" t="s">
        <v>2254</v>
      </c>
      <c r="AQ424" s="667"/>
      <c r="AR424" s="634"/>
      <c r="AS424" s="635"/>
      <c r="AU424" s="189"/>
      <c r="AV424" s="189"/>
      <c r="AW424" s="189"/>
      <c r="AX424" s="521"/>
      <c r="AY424" s="507"/>
      <c r="AZ424" s="189"/>
      <c r="BA424" s="189"/>
      <c r="BB424" s="189"/>
      <c r="BC424" s="517"/>
      <c r="BD424" s="189"/>
      <c r="BF424" s="445"/>
    </row>
    <row r="425" spans="1:58" ht="19.5" customHeight="1">
      <c r="A425" s="116">
        <v>4627101821837</v>
      </c>
      <c r="B425" s="100">
        <v>1337</v>
      </c>
      <c r="C425" s="253" t="s">
        <v>2255</v>
      </c>
      <c r="D425" s="830"/>
      <c r="E425" s="101" t="s">
        <v>321</v>
      </c>
      <c r="F425" s="249"/>
      <c r="G425" s="240"/>
      <c r="H425" s="190"/>
      <c r="I425" s="190"/>
      <c r="J425" s="238">
        <v>975</v>
      </c>
      <c r="K425" s="104">
        <f t="shared" si="355"/>
        <v>0</v>
      </c>
      <c r="L425" s="238">
        <f t="shared" si="358"/>
        <v>1023.75</v>
      </c>
      <c r="M425" s="104">
        <f>L425*F425</f>
        <v>0</v>
      </c>
      <c r="N425" s="238">
        <f t="shared" si="359"/>
        <v>1072.5</v>
      </c>
      <c r="O425" s="104">
        <f>N425*F425</f>
        <v>0</v>
      </c>
      <c r="P425" s="238">
        <f t="shared" si="360"/>
        <v>1121.25</v>
      </c>
      <c r="Q425" s="104">
        <f>P425*F425</f>
        <v>0</v>
      </c>
      <c r="R425" s="238">
        <f t="shared" si="361"/>
        <v>1218.75</v>
      </c>
      <c r="S425" s="104">
        <f t="shared" si="356"/>
        <v>0</v>
      </c>
      <c r="T425" s="105">
        <v>220</v>
      </c>
      <c r="U425" s="105">
        <f t="shared" si="357"/>
        <v>0</v>
      </c>
      <c r="V425" s="106"/>
      <c r="W425" s="301">
        <v>1850</v>
      </c>
      <c r="Y425" s="567">
        <v>12</v>
      </c>
      <c r="Z425" s="189">
        <v>3</v>
      </c>
      <c r="AA425" s="541" t="s">
        <v>2245</v>
      </c>
      <c r="AB425" s="537">
        <v>45148</v>
      </c>
      <c r="AC425" s="537">
        <v>47704</v>
      </c>
      <c r="AD425" s="901" t="s">
        <v>2246</v>
      </c>
      <c r="AE425" s="718"/>
      <c r="AF425" s="700"/>
      <c r="AG425" s="700"/>
      <c r="AH425" s="547"/>
      <c r="AI425" s="478"/>
      <c r="AJ425" s="189"/>
      <c r="AK425" s="568">
        <v>3304990000</v>
      </c>
      <c r="AM425" s="632"/>
      <c r="AN425" s="633"/>
      <c r="AO425" s="633"/>
      <c r="AP425" s="616" t="s">
        <v>2256</v>
      </c>
      <c r="AQ425" s="667"/>
      <c r="AR425" s="634"/>
      <c r="AS425" s="635"/>
      <c r="AU425" s="189"/>
      <c r="AV425" s="189"/>
      <c r="AW425" s="189"/>
      <c r="AX425" s="521"/>
      <c r="AY425" s="507"/>
      <c r="AZ425" s="189"/>
      <c r="BA425" s="189"/>
      <c r="BB425" s="189"/>
      <c r="BC425" s="517"/>
      <c r="BD425" s="189"/>
      <c r="BF425" s="445"/>
    </row>
    <row r="426" spans="1:58" ht="19.5" customHeight="1">
      <c r="A426" s="116">
        <v>4627101821820</v>
      </c>
      <c r="B426" s="100">
        <v>1338</v>
      </c>
      <c r="C426" s="253" t="s">
        <v>2257</v>
      </c>
      <c r="D426" s="830"/>
      <c r="E426" s="101" t="s">
        <v>222</v>
      </c>
      <c r="F426" s="249"/>
      <c r="G426" s="240"/>
      <c r="H426" s="190"/>
      <c r="I426" s="190"/>
      <c r="J426" s="238">
        <v>70</v>
      </c>
      <c r="K426" s="104">
        <f t="shared" si="355"/>
        <v>0</v>
      </c>
      <c r="L426" s="238">
        <f t="shared" si="358"/>
        <v>73.5</v>
      </c>
      <c r="M426" s="104">
        <f>L426*F426</f>
        <v>0</v>
      </c>
      <c r="N426" s="238">
        <f t="shared" si="359"/>
        <v>77</v>
      </c>
      <c r="O426" s="104">
        <f>N426*F426</f>
        <v>0</v>
      </c>
      <c r="P426" s="238">
        <f t="shared" si="360"/>
        <v>80.5</v>
      </c>
      <c r="Q426" s="104">
        <f>P426*F426</f>
        <v>0</v>
      </c>
      <c r="R426" s="238">
        <f t="shared" si="361"/>
        <v>87.5</v>
      </c>
      <c r="S426" s="104">
        <f t="shared" si="356"/>
        <v>0</v>
      </c>
      <c r="T426" s="105">
        <v>18</v>
      </c>
      <c r="U426" s="105">
        <f t="shared" si="357"/>
        <v>0</v>
      </c>
      <c r="V426" s="106"/>
      <c r="W426" s="301">
        <v>130</v>
      </c>
      <c r="Y426" s="567">
        <v>12</v>
      </c>
      <c r="Z426" s="189">
        <v>3</v>
      </c>
      <c r="AA426" s="541" t="s">
        <v>2258</v>
      </c>
      <c r="AB426" s="537">
        <v>43896</v>
      </c>
      <c r="AC426" s="537">
        <v>45721</v>
      </c>
      <c r="AD426" s="718" t="s">
        <v>2259</v>
      </c>
      <c r="AE426" s="718"/>
      <c r="AF426" s="700"/>
      <c r="AG426" s="700"/>
      <c r="AH426" s="547"/>
      <c r="AI426" s="478"/>
      <c r="AJ426" s="189"/>
      <c r="AK426" s="568">
        <v>3304990000</v>
      </c>
      <c r="AM426" s="632"/>
      <c r="AN426" s="633"/>
      <c r="AO426" s="633"/>
      <c r="AP426" s="616" t="s">
        <v>2260</v>
      </c>
      <c r="AQ426" s="667"/>
      <c r="AR426" s="634"/>
      <c r="AS426" s="635"/>
      <c r="AU426" s="189"/>
      <c r="AV426" s="189"/>
      <c r="AW426" s="189"/>
      <c r="AX426" s="521"/>
      <c r="AY426" s="507"/>
      <c r="AZ426" s="189"/>
      <c r="BA426" s="189"/>
      <c r="BB426" s="189"/>
      <c r="BC426" s="517"/>
      <c r="BD426" s="189"/>
      <c r="BF426" s="445"/>
    </row>
    <row r="427" spans="1:58" ht="19.5" customHeight="1">
      <c r="A427" s="116">
        <v>4627101826856</v>
      </c>
      <c r="B427" s="100">
        <v>2675</v>
      </c>
      <c r="C427" s="253" t="s">
        <v>2261</v>
      </c>
      <c r="D427" s="830"/>
      <c r="E427" s="101" t="s">
        <v>304</v>
      </c>
      <c r="F427" s="249"/>
      <c r="G427" s="240"/>
      <c r="H427" s="190"/>
      <c r="I427" s="190"/>
      <c r="J427" s="238">
        <v>410</v>
      </c>
      <c r="K427" s="104">
        <f t="shared" si="355"/>
        <v>0</v>
      </c>
      <c r="L427" s="238">
        <f t="shared" si="358"/>
        <v>430.5</v>
      </c>
      <c r="M427" s="104">
        <f>L427*F427</f>
        <v>0</v>
      </c>
      <c r="N427" s="238">
        <f t="shared" si="359"/>
        <v>451</v>
      </c>
      <c r="O427" s="104">
        <f>N427*F427</f>
        <v>0</v>
      </c>
      <c r="P427" s="238">
        <f t="shared" si="360"/>
        <v>471.5</v>
      </c>
      <c r="Q427" s="104">
        <f>P427*F427</f>
        <v>0</v>
      </c>
      <c r="R427" s="238">
        <f t="shared" si="361"/>
        <v>512.5</v>
      </c>
      <c r="S427" s="104">
        <f t="shared" si="356"/>
        <v>0</v>
      </c>
      <c r="T427" s="105">
        <v>160</v>
      </c>
      <c r="U427" s="105">
        <f t="shared" si="357"/>
        <v>0</v>
      </c>
      <c r="V427" s="106"/>
      <c r="W427" s="301">
        <v>775</v>
      </c>
      <c r="Y427" s="567">
        <v>12</v>
      </c>
      <c r="Z427" s="189">
        <v>3</v>
      </c>
      <c r="AA427" s="541" t="s">
        <v>2258</v>
      </c>
      <c r="AB427" s="537">
        <v>43896</v>
      </c>
      <c r="AC427" s="537">
        <v>45721</v>
      </c>
      <c r="AD427" s="718" t="s">
        <v>2259</v>
      </c>
      <c r="AE427" s="718"/>
      <c r="AF427" s="700"/>
      <c r="AG427" s="700"/>
      <c r="AH427" s="547" t="s">
        <v>1388</v>
      </c>
      <c r="AI427" s="478"/>
      <c r="AJ427" s="189"/>
      <c r="AK427" s="568">
        <v>3304990000</v>
      </c>
      <c r="AM427" s="610" t="s">
        <v>2262</v>
      </c>
      <c r="AN427" s="611" t="s">
        <v>2263</v>
      </c>
      <c r="AO427" s="611" t="s">
        <v>2264</v>
      </c>
      <c r="AP427" s="616" t="s">
        <v>2265</v>
      </c>
      <c r="AQ427" s="667"/>
      <c r="AR427" s="634"/>
      <c r="AS427" s="635"/>
      <c r="AU427" s="189"/>
      <c r="AV427" s="189"/>
      <c r="AW427" s="189"/>
      <c r="AX427" s="521">
        <f>136*51*34/1000000000</f>
        <v>2.3582400000000001E-4</v>
      </c>
      <c r="AY427" s="507"/>
      <c r="AZ427" s="189"/>
      <c r="BA427" s="189"/>
      <c r="BB427" s="189"/>
      <c r="BC427" s="517"/>
      <c r="BD427" s="189"/>
      <c r="BF427" s="445"/>
    </row>
    <row r="428" spans="1:58" ht="19.5" customHeight="1">
      <c r="A428" s="116">
        <v>4627101821813</v>
      </c>
      <c r="B428" s="100">
        <v>1339</v>
      </c>
      <c r="C428" s="253" t="s">
        <v>2266</v>
      </c>
      <c r="D428" s="830"/>
      <c r="E428" s="101" t="s">
        <v>2267</v>
      </c>
      <c r="F428" s="249"/>
      <c r="G428" s="240"/>
      <c r="H428" s="190"/>
      <c r="I428" s="190"/>
      <c r="J428" s="238">
        <v>1565</v>
      </c>
      <c r="K428" s="104">
        <f t="shared" si="355"/>
        <v>0</v>
      </c>
      <c r="L428" s="238">
        <f t="shared" si="358"/>
        <v>1643.25</v>
      </c>
      <c r="M428" s="104">
        <f>L428*F428</f>
        <v>0</v>
      </c>
      <c r="N428" s="238">
        <f t="shared" si="359"/>
        <v>1721.5</v>
      </c>
      <c r="O428" s="104">
        <f>N428*F428</f>
        <v>0</v>
      </c>
      <c r="P428" s="238">
        <f t="shared" si="360"/>
        <v>1799.75</v>
      </c>
      <c r="Q428" s="104">
        <f>P428*F428</f>
        <v>0</v>
      </c>
      <c r="R428" s="238">
        <f t="shared" si="361"/>
        <v>1956.25</v>
      </c>
      <c r="S428" s="104">
        <f t="shared" si="356"/>
        <v>0</v>
      </c>
      <c r="T428" s="105">
        <v>755</v>
      </c>
      <c r="U428" s="105">
        <f t="shared" si="357"/>
        <v>0</v>
      </c>
      <c r="V428" s="106"/>
      <c r="W428" s="301">
        <v>2970</v>
      </c>
      <c r="Y428" s="567">
        <v>12</v>
      </c>
      <c r="Z428" s="189">
        <v>3</v>
      </c>
      <c r="AA428" s="541" t="s">
        <v>2258</v>
      </c>
      <c r="AB428" s="537">
        <v>43896</v>
      </c>
      <c r="AC428" s="537">
        <v>45721</v>
      </c>
      <c r="AD428" s="718" t="s">
        <v>2259</v>
      </c>
      <c r="AE428" s="718"/>
      <c r="AF428" s="700"/>
      <c r="AG428" s="700"/>
      <c r="AH428" s="547" t="s">
        <v>2268</v>
      </c>
      <c r="AI428" s="478"/>
      <c r="AJ428" s="189"/>
      <c r="AK428" s="568">
        <v>3304990000</v>
      </c>
      <c r="AM428" s="632"/>
      <c r="AN428" s="633"/>
      <c r="AO428" s="633"/>
      <c r="AP428" s="616" t="s">
        <v>2269</v>
      </c>
      <c r="AQ428" s="667"/>
      <c r="AR428" s="634"/>
      <c r="AS428" s="635"/>
      <c r="AU428" s="189"/>
      <c r="AV428" s="189"/>
      <c r="AW428" s="189"/>
      <c r="AX428" s="521">
        <f>185*80*80/1000000000</f>
        <v>1.1839999999999999E-3</v>
      </c>
      <c r="AY428" s="507"/>
      <c r="AZ428" s="189"/>
      <c r="BA428" s="189"/>
      <c r="BB428" s="189"/>
      <c r="BC428" s="517"/>
      <c r="BD428" s="189"/>
      <c r="BF428" s="445"/>
    </row>
    <row r="429" spans="1:58" s="42" customFormat="1" ht="23.25" customHeight="1">
      <c r="A429" s="485" t="s">
        <v>156</v>
      </c>
      <c r="B429" s="307"/>
      <c r="C429" s="250" t="s">
        <v>2270</v>
      </c>
      <c r="D429" s="838"/>
      <c r="E429" s="118"/>
      <c r="F429" s="490"/>
      <c r="G429" s="295"/>
      <c r="H429" s="295"/>
      <c r="I429" s="295"/>
      <c r="J429" s="296"/>
      <c r="K429" s="486">
        <f>K430+K431+K432+K433</f>
        <v>0</v>
      </c>
      <c r="L429" s="487"/>
      <c r="M429" s="486">
        <f>M430+M431+M432+M433</f>
        <v>0</v>
      </c>
      <c r="N429" s="487"/>
      <c r="O429" s="486">
        <f>O430+O431+O432+O433</f>
        <v>0</v>
      </c>
      <c r="P429" s="487"/>
      <c r="Q429" s="486">
        <f>Q430+Q431+Q432+Q433</f>
        <v>0</v>
      </c>
      <c r="R429" s="487"/>
      <c r="S429" s="486">
        <f>S430+S431+S432+S433</f>
        <v>0</v>
      </c>
      <c r="T429" s="297"/>
      <c r="U429" s="294">
        <f>U430+U431+U432+U433</f>
        <v>0</v>
      </c>
      <c r="V429" s="293"/>
      <c r="W429" s="293"/>
      <c r="X429" s="584"/>
      <c r="Y429" s="562"/>
      <c r="Z429" s="293"/>
      <c r="AA429" s="772"/>
      <c r="AB429" s="543"/>
      <c r="AC429" s="543"/>
      <c r="AD429" s="716"/>
      <c r="AE429" s="711"/>
      <c r="AF429" s="699"/>
      <c r="AG429" s="699"/>
      <c r="AH429" s="546"/>
      <c r="AI429" s="675"/>
      <c r="AJ429" s="293"/>
      <c r="AK429" s="563"/>
      <c r="AL429" s="554"/>
      <c r="AM429" s="562"/>
      <c r="AN429" s="293"/>
      <c r="AO429" s="293"/>
      <c r="AP429" s="293"/>
      <c r="AQ429" s="293"/>
      <c r="AR429" s="293"/>
      <c r="AS429" s="563"/>
      <c r="AU429" s="293"/>
      <c r="AV429" s="293"/>
      <c r="AW429" s="293"/>
      <c r="AX429" s="293"/>
      <c r="AY429" s="293"/>
      <c r="AZ429" s="293"/>
      <c r="BA429" s="293"/>
      <c r="BB429" s="293"/>
      <c r="BC429" s="293"/>
      <c r="BD429" s="293"/>
      <c r="BF429" s="447"/>
    </row>
    <row r="430" spans="1:58" s="42" customFormat="1" ht="18" customHeight="1">
      <c r="A430" s="119" t="s">
        <v>2271</v>
      </c>
      <c r="B430" s="108">
        <v>3657</v>
      </c>
      <c r="C430" s="251" t="s">
        <v>2272</v>
      </c>
      <c r="D430" s="826"/>
      <c r="E430" s="110" t="s">
        <v>2273</v>
      </c>
      <c r="F430" s="248"/>
      <c r="G430" s="111"/>
      <c r="H430" s="111"/>
      <c r="I430" s="111"/>
      <c r="J430" s="238">
        <v>195</v>
      </c>
      <c r="K430" s="104">
        <f>J430*F430</f>
        <v>0</v>
      </c>
      <c r="L430" s="238">
        <f>J430+J430*5%</f>
        <v>204.75</v>
      </c>
      <c r="M430" s="104">
        <f>L430*F430</f>
        <v>0</v>
      </c>
      <c r="N430" s="238">
        <f>J430+J430*10%</f>
        <v>214.5</v>
      </c>
      <c r="O430" s="104">
        <f>N430*F430</f>
        <v>0</v>
      </c>
      <c r="P430" s="238">
        <f>J430+J430*15%</f>
        <v>224.25</v>
      </c>
      <c r="Q430" s="104">
        <f>P430*F430</f>
        <v>0</v>
      </c>
      <c r="R430" s="238">
        <f>J430+J430*25%</f>
        <v>243.75</v>
      </c>
      <c r="S430" s="104">
        <f>R430*F430</f>
        <v>0</v>
      </c>
      <c r="T430" s="112"/>
      <c r="U430" s="112">
        <f t="shared" ref="U430:U433" si="362">T430*F430</f>
        <v>0</v>
      </c>
      <c r="V430" s="114"/>
      <c r="W430" s="301">
        <v>370</v>
      </c>
      <c r="X430" s="584"/>
      <c r="Y430" s="565">
        <v>12</v>
      </c>
      <c r="Z430" s="286">
        <v>6</v>
      </c>
      <c r="AA430" s="541" t="s">
        <v>2274</v>
      </c>
      <c r="AB430" s="536">
        <v>44553</v>
      </c>
      <c r="AC430" s="536">
        <v>46378</v>
      </c>
      <c r="AD430" s="714" t="s">
        <v>2275</v>
      </c>
      <c r="AE430" s="714" t="s">
        <v>67</v>
      </c>
      <c r="AF430" s="694"/>
      <c r="AG430" s="694"/>
      <c r="AH430" s="513"/>
      <c r="AI430" s="478"/>
      <c r="AJ430" s="478"/>
      <c r="AK430" s="564">
        <v>3401300000</v>
      </c>
      <c r="AL430" s="555"/>
      <c r="AM430" s="610" t="s">
        <v>2276</v>
      </c>
      <c r="AN430" s="611" t="s">
        <v>2277</v>
      </c>
      <c r="AO430" s="611" t="s">
        <v>2278</v>
      </c>
      <c r="AP430" s="612" t="s">
        <v>2279</v>
      </c>
      <c r="AQ430" s="613" t="s">
        <v>2280</v>
      </c>
      <c r="AR430" s="614"/>
      <c r="AS430" s="615"/>
      <c r="AU430" s="478"/>
      <c r="AV430" s="478"/>
      <c r="AW430" s="478"/>
      <c r="AX430" s="506"/>
      <c r="AY430" s="507"/>
      <c r="AZ430" s="478"/>
      <c r="BA430" s="478"/>
      <c r="BB430" s="478"/>
      <c r="BC430" s="478"/>
      <c r="BD430" s="483"/>
      <c r="BF430" s="447"/>
    </row>
    <row r="431" spans="1:58" s="42" customFormat="1" ht="18" customHeight="1">
      <c r="A431" s="119" t="s">
        <v>2281</v>
      </c>
      <c r="B431" s="108">
        <v>3658</v>
      </c>
      <c r="C431" s="251" t="s">
        <v>2282</v>
      </c>
      <c r="D431" s="826"/>
      <c r="E431" s="110" t="s">
        <v>252</v>
      </c>
      <c r="F431" s="248"/>
      <c r="G431" s="111"/>
      <c r="H431" s="111"/>
      <c r="I431" s="111"/>
      <c r="J431" s="238">
        <v>125</v>
      </c>
      <c r="K431" s="104">
        <f>J431*F431</f>
        <v>0</v>
      </c>
      <c r="L431" s="238">
        <f>J431+J431*5%</f>
        <v>131.25</v>
      </c>
      <c r="M431" s="104">
        <f>L431*F431</f>
        <v>0</v>
      </c>
      <c r="N431" s="238">
        <f>J431+J431*10%</f>
        <v>137.5</v>
      </c>
      <c r="O431" s="104">
        <f>N431*F431</f>
        <v>0</v>
      </c>
      <c r="P431" s="238">
        <f>J431+J431*15%</f>
        <v>143.75</v>
      </c>
      <c r="Q431" s="104">
        <f>P431*F431</f>
        <v>0</v>
      </c>
      <c r="R431" s="238">
        <f>J431+J431*25%</f>
        <v>156.25</v>
      </c>
      <c r="S431" s="104">
        <f>R431*F431</f>
        <v>0</v>
      </c>
      <c r="T431" s="112"/>
      <c r="U431" s="112">
        <f t="shared" si="362"/>
        <v>0</v>
      </c>
      <c r="V431" s="114"/>
      <c r="W431" s="301">
        <v>235</v>
      </c>
      <c r="X431" s="584"/>
      <c r="Y431" s="565">
        <v>12</v>
      </c>
      <c r="Z431" s="286">
        <v>3</v>
      </c>
      <c r="AA431" s="776" t="s">
        <v>442</v>
      </c>
      <c r="AB431" s="536">
        <v>44553</v>
      </c>
      <c r="AC431" s="536">
        <v>46378</v>
      </c>
      <c r="AD431" s="714" t="s">
        <v>443</v>
      </c>
      <c r="AE431" s="714" t="s">
        <v>141</v>
      </c>
      <c r="AF431" s="694"/>
      <c r="AG431" s="694"/>
      <c r="AH431" s="513"/>
      <c r="AI431" s="478"/>
      <c r="AJ431" s="478"/>
      <c r="AK431" s="564">
        <v>3304990000</v>
      </c>
      <c r="AL431" s="555"/>
      <c r="AM431" s="610" t="s">
        <v>2283</v>
      </c>
      <c r="AN431" s="611" t="s">
        <v>2284</v>
      </c>
      <c r="AO431" s="611" t="s">
        <v>2285</v>
      </c>
      <c r="AP431" s="612" t="s">
        <v>2286</v>
      </c>
      <c r="AQ431" s="613" t="s">
        <v>2287</v>
      </c>
      <c r="AR431" s="614"/>
      <c r="AS431" s="615"/>
      <c r="AU431" s="478"/>
      <c r="AV431" s="478"/>
      <c r="AW431" s="478"/>
      <c r="AX431" s="506"/>
      <c r="AY431" s="507"/>
      <c r="AZ431" s="478"/>
      <c r="BA431" s="478"/>
      <c r="BB431" s="478"/>
      <c r="BC431" s="478"/>
      <c r="BD431" s="483"/>
      <c r="BF431" s="447"/>
    </row>
    <row r="432" spans="1:58" s="42" customFormat="1" ht="18" customHeight="1">
      <c r="A432" s="119" t="s">
        <v>2288</v>
      </c>
      <c r="B432" s="108">
        <v>3659</v>
      </c>
      <c r="C432" s="251" t="s">
        <v>2289</v>
      </c>
      <c r="D432" s="826"/>
      <c r="E432" s="110" t="s">
        <v>2290</v>
      </c>
      <c r="F432" s="248"/>
      <c r="G432" s="111"/>
      <c r="H432" s="111"/>
      <c r="I432" s="111"/>
      <c r="J432" s="238">
        <v>190</v>
      </c>
      <c r="K432" s="104">
        <f>J432*F432</f>
        <v>0</v>
      </c>
      <c r="L432" s="238">
        <f>J432+J432*5%</f>
        <v>199.5</v>
      </c>
      <c r="M432" s="104">
        <f>L432*F432</f>
        <v>0</v>
      </c>
      <c r="N432" s="238">
        <f>J432+J432*10%</f>
        <v>209</v>
      </c>
      <c r="O432" s="104">
        <f>N432*F432</f>
        <v>0</v>
      </c>
      <c r="P432" s="238">
        <f>J432+J432*15%</f>
        <v>218.5</v>
      </c>
      <c r="Q432" s="104">
        <f>P432*F432</f>
        <v>0</v>
      </c>
      <c r="R432" s="238">
        <f>J432+J432*25%</f>
        <v>237.5</v>
      </c>
      <c r="S432" s="104">
        <f>R432*F432</f>
        <v>0</v>
      </c>
      <c r="T432" s="112">
        <v>49</v>
      </c>
      <c r="U432" s="112">
        <f t="shared" si="362"/>
        <v>0</v>
      </c>
      <c r="V432" s="114"/>
      <c r="W432" s="301">
        <v>360</v>
      </c>
      <c r="X432" s="584"/>
      <c r="Y432" s="565">
        <v>12</v>
      </c>
      <c r="Z432" s="286">
        <v>3</v>
      </c>
      <c r="AA432" s="541" t="s">
        <v>2291</v>
      </c>
      <c r="AB432" s="537">
        <v>44970</v>
      </c>
      <c r="AC432" s="535" t="s">
        <v>1596</v>
      </c>
      <c r="AD432" s="713" t="s">
        <v>2292</v>
      </c>
      <c r="AE432" s="712" t="s">
        <v>1805</v>
      </c>
      <c r="AF432" s="700" t="s">
        <v>444</v>
      </c>
      <c r="AG432" s="700" t="s">
        <v>1320</v>
      </c>
      <c r="AH432" s="547" t="s">
        <v>2293</v>
      </c>
      <c r="AI432" s="478"/>
      <c r="AJ432" s="478"/>
      <c r="AK432" s="564">
        <v>3304990000</v>
      </c>
      <c r="AL432" s="555"/>
      <c r="AM432" s="588" t="s">
        <v>2294</v>
      </c>
      <c r="AN432" s="273" t="s">
        <v>2295</v>
      </c>
      <c r="AO432" s="273" t="s">
        <v>2296</v>
      </c>
      <c r="AP432" s="612" t="s">
        <v>2297</v>
      </c>
      <c r="AQ432" s="613" t="s">
        <v>2298</v>
      </c>
      <c r="AR432" s="614"/>
      <c r="AS432" s="615"/>
      <c r="AU432" s="478"/>
      <c r="AV432" s="478"/>
      <c r="AW432" s="478"/>
      <c r="AX432" s="506"/>
      <c r="AY432" s="507"/>
      <c r="AZ432" s="478"/>
      <c r="BA432" s="478"/>
      <c r="BB432" s="478"/>
      <c r="BC432" s="478"/>
      <c r="BD432" s="483"/>
      <c r="BF432" s="447"/>
    </row>
    <row r="433" spans="1:72" s="42" customFormat="1" ht="18" customHeight="1">
      <c r="A433" s="119" t="s">
        <v>2299</v>
      </c>
      <c r="B433" s="108">
        <v>3656</v>
      </c>
      <c r="C433" s="251" t="s">
        <v>2300</v>
      </c>
      <c r="D433" s="826"/>
      <c r="E433" s="110" t="s">
        <v>822</v>
      </c>
      <c r="F433" s="248"/>
      <c r="G433" s="111"/>
      <c r="H433" s="111"/>
      <c r="I433" s="111"/>
      <c r="J433" s="238">
        <v>125</v>
      </c>
      <c r="K433" s="104">
        <f>J433*F433</f>
        <v>0</v>
      </c>
      <c r="L433" s="238">
        <f>J433+J433*5%</f>
        <v>131.25</v>
      </c>
      <c r="M433" s="104">
        <f>L433*F433</f>
        <v>0</v>
      </c>
      <c r="N433" s="238">
        <f>J433+J433*10%</f>
        <v>137.5</v>
      </c>
      <c r="O433" s="104">
        <f>N433*F433</f>
        <v>0</v>
      </c>
      <c r="P433" s="238">
        <f>J433+J433*15%</f>
        <v>143.75</v>
      </c>
      <c r="Q433" s="104">
        <f>P433*F433</f>
        <v>0</v>
      </c>
      <c r="R433" s="238">
        <f>J433+J433*25%</f>
        <v>156.25</v>
      </c>
      <c r="S433" s="104">
        <f>R433*F433</f>
        <v>0</v>
      </c>
      <c r="T433" s="112"/>
      <c r="U433" s="112">
        <f t="shared" si="362"/>
        <v>0</v>
      </c>
      <c r="V433" s="114"/>
      <c r="W433" s="301">
        <v>235</v>
      </c>
      <c r="X433" s="584"/>
      <c r="Y433" s="565">
        <v>12</v>
      </c>
      <c r="Z433" s="286">
        <v>6</v>
      </c>
      <c r="AA433" s="775" t="s">
        <v>2274</v>
      </c>
      <c r="AB433" s="539">
        <v>44553</v>
      </c>
      <c r="AC433" s="539">
        <v>46378</v>
      </c>
      <c r="AD433" s="715" t="s">
        <v>2275</v>
      </c>
      <c r="AE433" s="715" t="s">
        <v>67</v>
      </c>
      <c r="AF433" s="700"/>
      <c r="AG433" s="700"/>
      <c r="AH433" s="513"/>
      <c r="AI433" s="478"/>
      <c r="AJ433" s="478"/>
      <c r="AK433" s="564">
        <v>3401300000</v>
      </c>
      <c r="AL433" s="555"/>
      <c r="AM433" s="610" t="s">
        <v>2301</v>
      </c>
      <c r="AN433" s="611" t="s">
        <v>2302</v>
      </c>
      <c r="AO433" s="611" t="s">
        <v>2303</v>
      </c>
      <c r="AP433" s="612" t="s">
        <v>2304</v>
      </c>
      <c r="AQ433" s="613" t="s">
        <v>2305</v>
      </c>
      <c r="AR433" s="614"/>
      <c r="AS433" s="615"/>
      <c r="AU433" s="478"/>
      <c r="AV433" s="478"/>
      <c r="AW433" s="478"/>
      <c r="AX433" s="506"/>
      <c r="AY433" s="507"/>
      <c r="AZ433" s="478"/>
      <c r="BA433" s="478"/>
      <c r="BB433" s="478"/>
      <c r="BC433" s="478"/>
      <c r="BD433" s="483"/>
      <c r="BF433" s="447"/>
    </row>
    <row r="434" spans="1:72" s="42" customFormat="1" ht="18" hidden="1" customHeight="1">
      <c r="A434" s="119" t="s">
        <v>2306</v>
      </c>
      <c r="B434" s="108">
        <v>4438</v>
      </c>
      <c r="C434" s="251" t="s">
        <v>2307</v>
      </c>
      <c r="D434" s="826"/>
      <c r="E434" s="110"/>
      <c r="F434" s="248"/>
      <c r="G434" s="111"/>
      <c r="H434" s="111"/>
      <c r="I434" s="111"/>
      <c r="J434" s="238"/>
      <c r="K434" s="104">
        <f>J434*F434</f>
        <v>0</v>
      </c>
      <c r="L434" s="238"/>
      <c r="M434" s="104">
        <f>L434*F434</f>
        <v>0</v>
      </c>
      <c r="N434" s="238"/>
      <c r="O434" s="104">
        <f>N434*F434</f>
        <v>0</v>
      </c>
      <c r="P434" s="238"/>
      <c r="Q434" s="104">
        <f>P434*F434</f>
        <v>0</v>
      </c>
      <c r="R434" s="238"/>
      <c r="S434" s="104">
        <f>R434*F434</f>
        <v>0</v>
      </c>
      <c r="T434" s="112"/>
      <c r="U434" s="112">
        <f>T434*F434</f>
        <v>0</v>
      </c>
      <c r="V434" s="114"/>
      <c r="W434" s="301"/>
      <c r="X434" s="584"/>
      <c r="Y434" s="565"/>
      <c r="Z434" s="286"/>
      <c r="AA434" s="775"/>
      <c r="AB434" s="539"/>
      <c r="AC434" s="539"/>
      <c r="AD434" s="715"/>
      <c r="AE434" s="715"/>
      <c r="AF434" s="700"/>
      <c r="AG434" s="700"/>
      <c r="AH434" s="513"/>
      <c r="AI434" s="478"/>
      <c r="AJ434" s="478"/>
      <c r="AK434" s="564"/>
      <c r="AL434" s="555"/>
      <c r="AM434" s="610"/>
      <c r="AN434" s="611"/>
      <c r="AO434" s="611"/>
      <c r="AP434" s="612"/>
      <c r="AQ434" s="613"/>
      <c r="AR434" s="614"/>
      <c r="AS434" s="615"/>
      <c r="AU434" s="478"/>
      <c r="AV434" s="478"/>
      <c r="AW434" s="478"/>
      <c r="AX434" s="506"/>
      <c r="AY434" s="507"/>
      <c r="AZ434" s="478"/>
      <c r="BA434" s="478"/>
      <c r="BB434" s="478"/>
      <c r="BC434" s="478"/>
      <c r="BD434" s="483"/>
      <c r="BF434" s="447"/>
    </row>
    <row r="435" spans="1:72" s="42" customFormat="1" ht="19.5" customHeight="1">
      <c r="A435" s="485" t="s">
        <v>156</v>
      </c>
      <c r="B435" s="274"/>
      <c r="C435" s="269" t="s">
        <v>2308</v>
      </c>
      <c r="D435" s="839"/>
      <c r="E435" s="270"/>
      <c r="F435" s="491"/>
      <c r="G435" s="308"/>
      <c r="H435" s="309"/>
      <c r="I435" s="310"/>
      <c r="J435" s="311"/>
      <c r="K435" s="488">
        <f>K436+K437+K438</f>
        <v>0</v>
      </c>
      <c r="L435" s="489"/>
      <c r="M435" s="488">
        <f>M436+M437+M438</f>
        <v>0</v>
      </c>
      <c r="N435" s="489"/>
      <c r="O435" s="488">
        <f>O436+O437+O438</f>
        <v>0</v>
      </c>
      <c r="P435" s="489"/>
      <c r="Q435" s="488">
        <f>Q436+Q437+Q438</f>
        <v>0</v>
      </c>
      <c r="R435" s="489"/>
      <c r="S435" s="488">
        <f>S436+S437+S438</f>
        <v>0</v>
      </c>
      <c r="T435" s="313"/>
      <c r="U435" s="313">
        <f>U436+U437+U438</f>
        <v>0</v>
      </c>
      <c r="V435" s="293"/>
      <c r="W435" s="293"/>
      <c r="X435" s="584"/>
      <c r="Y435" s="562"/>
      <c r="Z435" s="293"/>
      <c r="AA435" s="772"/>
      <c r="AB435" s="543"/>
      <c r="AC435" s="543"/>
      <c r="AD435" s="716"/>
      <c r="AE435" s="716"/>
      <c r="AF435" s="701"/>
      <c r="AG435" s="701"/>
      <c r="AH435" s="546"/>
      <c r="AI435" s="675"/>
      <c r="AJ435" s="293"/>
      <c r="AK435" s="563"/>
      <c r="AL435" s="554"/>
      <c r="AM435" s="562"/>
      <c r="AN435" s="293"/>
      <c r="AO435" s="293"/>
      <c r="AP435" s="293"/>
      <c r="AQ435" s="293"/>
      <c r="AR435" s="293"/>
      <c r="AS435" s="563"/>
      <c r="AU435" s="293"/>
      <c r="AV435" s="293"/>
      <c r="AW435" s="293"/>
      <c r="AX435" s="293"/>
      <c r="AY435" s="293"/>
      <c r="AZ435" s="293"/>
      <c r="BA435" s="293"/>
      <c r="BB435" s="293"/>
      <c r="BC435" s="293"/>
      <c r="BD435" s="293"/>
      <c r="BF435" s="447"/>
    </row>
    <row r="436" spans="1:72" s="42" customFormat="1" ht="18.75" customHeight="1">
      <c r="A436" s="314" t="s">
        <v>2309</v>
      </c>
      <c r="B436" s="108">
        <v>3254</v>
      </c>
      <c r="C436" s="251" t="s">
        <v>2310</v>
      </c>
      <c r="D436" s="826"/>
      <c r="E436" s="110" t="s">
        <v>822</v>
      </c>
      <c r="F436" s="248"/>
      <c r="G436" s="111"/>
      <c r="H436" s="111"/>
      <c r="I436" s="239"/>
      <c r="J436" s="315">
        <v>90</v>
      </c>
      <c r="K436" s="104">
        <f>F436*J436</f>
        <v>0</v>
      </c>
      <c r="L436" s="238">
        <f>J436+J436*5%</f>
        <v>94.5</v>
      </c>
      <c r="M436" s="104">
        <f>L436*F436</f>
        <v>0</v>
      </c>
      <c r="N436" s="238">
        <f>J436+J436*10%</f>
        <v>99</v>
      </c>
      <c r="O436" s="104">
        <f>N436*F436</f>
        <v>0</v>
      </c>
      <c r="P436" s="238">
        <f>J436+J436*15%</f>
        <v>103.5</v>
      </c>
      <c r="Q436" s="104">
        <f>P436*F436</f>
        <v>0</v>
      </c>
      <c r="R436" s="238">
        <f>J436+J436*25%</f>
        <v>112.5</v>
      </c>
      <c r="S436" s="104">
        <f>R436*F436</f>
        <v>0</v>
      </c>
      <c r="T436" s="112">
        <v>74</v>
      </c>
      <c r="U436" s="112">
        <f>T436*F436</f>
        <v>0</v>
      </c>
      <c r="V436" s="113"/>
      <c r="W436" s="301">
        <v>170</v>
      </c>
      <c r="X436" s="584"/>
      <c r="Y436" s="566">
        <v>24</v>
      </c>
      <c r="Z436" s="477"/>
      <c r="AA436" s="773"/>
      <c r="AB436" s="540"/>
      <c r="AC436" s="540"/>
      <c r="AD436" s="712"/>
      <c r="AE436" s="712"/>
      <c r="AF436" s="700"/>
      <c r="AG436" s="700"/>
      <c r="AH436" s="513"/>
      <c r="AI436" s="478"/>
      <c r="AJ436" s="478"/>
      <c r="AK436" s="564">
        <v>3401300000</v>
      </c>
      <c r="AL436" s="555"/>
      <c r="AM436" s="610" t="s">
        <v>2311</v>
      </c>
      <c r="AN436" s="611" t="s">
        <v>2312</v>
      </c>
      <c r="AO436" s="611" t="s">
        <v>2313</v>
      </c>
      <c r="AP436" s="616" t="s">
        <v>2314</v>
      </c>
      <c r="AQ436" s="617"/>
      <c r="AR436" s="614"/>
      <c r="AS436" s="618"/>
      <c r="AU436" s="478"/>
      <c r="AV436" s="478"/>
      <c r="AW436" s="478"/>
      <c r="AX436" s="506"/>
      <c r="AY436" s="507"/>
      <c r="AZ436" s="478"/>
      <c r="BA436" s="478"/>
      <c r="BB436" s="478"/>
      <c r="BC436" s="478"/>
      <c r="BD436" s="483"/>
      <c r="BF436" s="447"/>
    </row>
    <row r="437" spans="1:72" s="42" customFormat="1" ht="19.5" customHeight="1">
      <c r="A437" s="314" t="s">
        <v>2315</v>
      </c>
      <c r="B437" s="108">
        <v>3255</v>
      </c>
      <c r="C437" s="251" t="s">
        <v>2316</v>
      </c>
      <c r="D437" s="826"/>
      <c r="E437" s="110" t="s">
        <v>208</v>
      </c>
      <c r="F437" s="248"/>
      <c r="G437" s="111"/>
      <c r="H437" s="111"/>
      <c r="I437" s="239"/>
      <c r="J437" s="315">
        <v>105</v>
      </c>
      <c r="K437" s="104">
        <f>F437*J437</f>
        <v>0</v>
      </c>
      <c r="L437" s="238">
        <f>J437+J437*5%</f>
        <v>110.25</v>
      </c>
      <c r="M437" s="104">
        <f>L437*F437</f>
        <v>0</v>
      </c>
      <c r="N437" s="238">
        <f>J437+J437*10%</f>
        <v>115.5</v>
      </c>
      <c r="O437" s="104">
        <f>N437*F437</f>
        <v>0</v>
      </c>
      <c r="P437" s="238">
        <f>J437+J437*15%</f>
        <v>120.75</v>
      </c>
      <c r="Q437" s="104">
        <f>P437*F437</f>
        <v>0</v>
      </c>
      <c r="R437" s="238">
        <f>J437+J437*25%</f>
        <v>131.25</v>
      </c>
      <c r="S437" s="104">
        <f>R437*F437</f>
        <v>0</v>
      </c>
      <c r="T437" s="112">
        <v>45</v>
      </c>
      <c r="U437" s="112">
        <f>T437*F437</f>
        <v>0</v>
      </c>
      <c r="V437" s="113"/>
      <c r="W437" s="301">
        <v>195</v>
      </c>
      <c r="X437" s="584"/>
      <c r="Y437" s="566">
        <v>24</v>
      </c>
      <c r="Z437" s="477"/>
      <c r="AA437" s="773"/>
      <c r="AB437" s="540"/>
      <c r="AC437" s="540"/>
      <c r="AD437" s="712"/>
      <c r="AE437" s="712"/>
      <c r="AF437" s="700"/>
      <c r="AG437" s="700"/>
      <c r="AH437" s="513"/>
      <c r="AI437" s="478"/>
      <c r="AJ437" s="478"/>
      <c r="AK437" s="564">
        <v>3401300000</v>
      </c>
      <c r="AL437" s="555"/>
      <c r="AM437" s="610" t="s">
        <v>2317</v>
      </c>
      <c r="AN437" s="611" t="s">
        <v>2318</v>
      </c>
      <c r="AO437" s="611" t="s">
        <v>2319</v>
      </c>
      <c r="AP437" s="616" t="s">
        <v>2320</v>
      </c>
      <c r="AQ437" s="617"/>
      <c r="AR437" s="619" t="s">
        <v>340</v>
      </c>
      <c r="AS437" s="618"/>
      <c r="AU437" s="478"/>
      <c r="AV437" s="478"/>
      <c r="AW437" s="478"/>
      <c r="AX437" s="506"/>
      <c r="AY437" s="507"/>
      <c r="AZ437" s="478"/>
      <c r="BA437" s="478"/>
      <c r="BB437" s="478"/>
      <c r="BC437" s="478"/>
      <c r="BD437" s="483"/>
      <c r="BF437" s="447"/>
    </row>
    <row r="438" spans="1:72" s="42" customFormat="1" ht="19.5" customHeight="1">
      <c r="A438" s="314" t="s">
        <v>2321</v>
      </c>
      <c r="B438" s="108">
        <v>3285</v>
      </c>
      <c r="C438" s="251" t="s">
        <v>2322</v>
      </c>
      <c r="D438" s="826"/>
      <c r="E438" s="110" t="s">
        <v>208</v>
      </c>
      <c r="F438" s="248"/>
      <c r="G438" s="111"/>
      <c r="H438" s="111"/>
      <c r="I438" s="239"/>
      <c r="J438" s="315">
        <v>60</v>
      </c>
      <c r="K438" s="104">
        <f>J438*F438</f>
        <v>0</v>
      </c>
      <c r="L438" s="238">
        <f>J438+J438*5%</f>
        <v>63</v>
      </c>
      <c r="M438" s="104">
        <f>L438*F438</f>
        <v>0</v>
      </c>
      <c r="N438" s="238">
        <f>J438+J438*10%</f>
        <v>66</v>
      </c>
      <c r="O438" s="104">
        <f>N438*F438</f>
        <v>0</v>
      </c>
      <c r="P438" s="238">
        <f>J438+J438*15%</f>
        <v>69</v>
      </c>
      <c r="Q438" s="104">
        <f>P438*F438</f>
        <v>0</v>
      </c>
      <c r="R438" s="238">
        <f>J438+J438*25%</f>
        <v>75</v>
      </c>
      <c r="S438" s="104">
        <f>R438*F438</f>
        <v>0</v>
      </c>
      <c r="T438" s="112">
        <v>45</v>
      </c>
      <c r="U438" s="112">
        <f>T438*F438</f>
        <v>0</v>
      </c>
      <c r="V438" s="113"/>
      <c r="W438" s="301">
        <v>110</v>
      </c>
      <c r="X438" s="584"/>
      <c r="Y438" s="566">
        <v>24</v>
      </c>
      <c r="Z438" s="477"/>
      <c r="AA438" s="773"/>
      <c r="AB438" s="540"/>
      <c r="AC438" s="540"/>
      <c r="AD438" s="712"/>
      <c r="AE438" s="712"/>
      <c r="AF438" s="700"/>
      <c r="AG438" s="700"/>
      <c r="AH438" s="513"/>
      <c r="AI438" s="478"/>
      <c r="AJ438" s="478"/>
      <c r="AK438" s="564">
        <v>3401300000</v>
      </c>
      <c r="AL438" s="555"/>
      <c r="AM438" s="610" t="s">
        <v>2311</v>
      </c>
      <c r="AN438" s="611" t="s">
        <v>2312</v>
      </c>
      <c r="AO438" s="611" t="s">
        <v>2313</v>
      </c>
      <c r="AP438" s="616" t="s">
        <v>2323</v>
      </c>
      <c r="AQ438" s="617"/>
      <c r="AR438" s="614"/>
      <c r="AS438" s="618"/>
      <c r="AU438" s="478"/>
      <c r="AV438" s="478"/>
      <c r="AW438" s="478"/>
      <c r="AX438" s="506"/>
      <c r="AY438" s="507"/>
      <c r="AZ438" s="478"/>
      <c r="BA438" s="478"/>
      <c r="BB438" s="478"/>
      <c r="BC438" s="478"/>
      <c r="BD438" s="483"/>
      <c r="BF438" s="447"/>
    </row>
    <row r="439" spans="1:72" ht="18" customHeight="1">
      <c r="A439" s="485" t="s">
        <v>156</v>
      </c>
      <c r="B439" s="333"/>
      <c r="C439" s="334" t="s">
        <v>2324</v>
      </c>
      <c r="D439" s="828"/>
      <c r="E439" s="335"/>
      <c r="F439" s="491"/>
      <c r="G439" s="360"/>
      <c r="H439" s="360"/>
      <c r="I439" s="360"/>
      <c r="J439" s="357"/>
      <c r="K439" s="488">
        <f>K440+K441+K442+K443+K444+K445+K446+K447+K448+K449+K450+K451+K452+K453+K454+K455+K456+K457+K458+K459+K460+K461+K462+K463+K464+K465+K466+K467+K468+K469</f>
        <v>0</v>
      </c>
      <c r="L439" s="489"/>
      <c r="M439" s="488">
        <f>M440+M441+M442+M443+M444+M445+M446+M447+M448+M449+M450+M451+M452+M453+M454+M455+M456+M457+M458+M459+M460+M461+M462+M463+M464+M465+M466+M467+M468+M469</f>
        <v>0</v>
      </c>
      <c r="N439" s="489"/>
      <c r="O439" s="488">
        <f>O440+O441+O442+O443+O444+O445+O446+O447+O448+O449+O450+O451+O452+O453+O454+O455+O456+O457+O458+O459+O460+O461+O462+O463+O464+O465+O466+O467+O468+O469</f>
        <v>0</v>
      </c>
      <c r="P439" s="489"/>
      <c r="Q439" s="488">
        <f>Q440+Q441+Q442+Q443+Q444+Q445+Q446+Q447+Q448+Q449+Q450+Q451+Q452+Q453+Q454+Q455+Q456+Q457+Q458+Q459+Q460+Q461+Q462+Q463+Q464+Q465+Q466+Q467+Q468+Q469</f>
        <v>0</v>
      </c>
      <c r="R439" s="489"/>
      <c r="S439" s="488">
        <f>S440+S441+S442+S443+S444+S445+S446+S447+S448+S449+S450+S451+S452+S453+S454+S455+S456+S457+S458+S459+S460+S461+S462+S463+S464+S465+S466+S467+S468+S469</f>
        <v>0</v>
      </c>
      <c r="T439" s="313"/>
      <c r="U439" s="313">
        <f>SUM(U441:U461)</f>
        <v>0</v>
      </c>
      <c r="V439" s="293"/>
      <c r="W439" s="293"/>
      <c r="Y439" s="562"/>
      <c r="Z439" s="293"/>
      <c r="AA439" s="772"/>
      <c r="AB439" s="543"/>
      <c r="AC439" s="543"/>
      <c r="AD439" s="716"/>
      <c r="AE439" s="716"/>
      <c r="AF439" s="701"/>
      <c r="AG439" s="701"/>
      <c r="AH439" s="546"/>
      <c r="AI439" s="675"/>
      <c r="AJ439" s="293"/>
      <c r="AK439" s="563"/>
      <c r="AL439" s="554"/>
      <c r="AM439" s="562"/>
      <c r="AN439" s="293"/>
      <c r="AO439" s="293"/>
      <c r="AP439" s="293"/>
      <c r="AQ439" s="293"/>
      <c r="AR439" s="293"/>
      <c r="AS439" s="563"/>
      <c r="AU439" s="293"/>
      <c r="AV439" s="293"/>
      <c r="AW439" s="293"/>
      <c r="AX439" s="293"/>
      <c r="AY439" s="293"/>
      <c r="AZ439" s="293"/>
      <c r="BA439" s="293"/>
      <c r="BB439" s="293"/>
      <c r="BC439" s="293"/>
      <c r="BD439" s="293"/>
      <c r="BF439" s="445"/>
    </row>
    <row r="440" spans="1:72" s="285" customFormat="1" ht="17.25" customHeight="1">
      <c r="A440" s="277" t="s">
        <v>2325</v>
      </c>
      <c r="B440" s="278">
        <v>3330</v>
      </c>
      <c r="C440" s="347" t="s">
        <v>2326</v>
      </c>
      <c r="D440" s="831"/>
      <c r="E440" s="280" t="s">
        <v>2327</v>
      </c>
      <c r="F440" s="325"/>
      <c r="G440" s="417"/>
      <c r="H440" s="417"/>
      <c r="I440" s="417"/>
      <c r="J440" s="413">
        <v>175</v>
      </c>
      <c r="K440" s="292">
        <f>J440*F440</f>
        <v>0</v>
      </c>
      <c r="L440" s="413">
        <f>J440+J440*5%</f>
        <v>183.75</v>
      </c>
      <c r="M440" s="292">
        <f>L440*F440</f>
        <v>0</v>
      </c>
      <c r="N440" s="413">
        <f>J440+J440*10%</f>
        <v>192.5</v>
      </c>
      <c r="O440" s="292">
        <f>N440*F440</f>
        <v>0</v>
      </c>
      <c r="P440" s="413">
        <f>J440+J440*15%</f>
        <v>201.25</v>
      </c>
      <c r="Q440" s="292">
        <f>P440*F440</f>
        <v>0</v>
      </c>
      <c r="R440" s="413">
        <f>J440+J440*25%</f>
        <v>218.75</v>
      </c>
      <c r="S440" s="292">
        <f>R440*F440</f>
        <v>0</v>
      </c>
      <c r="T440" s="242">
        <v>10</v>
      </c>
      <c r="U440" s="242">
        <f>T440*F440</f>
        <v>0</v>
      </c>
      <c r="V440" s="243"/>
      <c r="W440" s="301"/>
      <c r="Y440" s="567">
        <v>6</v>
      </c>
      <c r="Z440" s="189"/>
      <c r="AA440" s="541" t="s">
        <v>2328</v>
      </c>
      <c r="AB440" s="535"/>
      <c r="AC440" s="535"/>
      <c r="AD440" s="713"/>
      <c r="AE440" s="713"/>
      <c r="AF440" s="700"/>
      <c r="AG440" s="700"/>
      <c r="AH440" s="547"/>
      <c r="AI440" s="478"/>
      <c r="AJ440" s="189"/>
      <c r="AK440" s="568"/>
      <c r="AL440" s="551"/>
      <c r="AM440" s="632"/>
      <c r="AN440" s="633"/>
      <c r="AO440" s="633"/>
      <c r="AP440" s="636"/>
      <c r="AQ440" s="668"/>
      <c r="AR440" s="634"/>
      <c r="AS440" s="635"/>
      <c r="AT440" s="4"/>
      <c r="AU440" s="189"/>
      <c r="AV440" s="189"/>
      <c r="AW440" s="189"/>
      <c r="AX440" s="189"/>
      <c r="AY440" s="104"/>
      <c r="AZ440" s="189"/>
      <c r="BA440" s="189"/>
      <c r="BB440" s="189"/>
      <c r="BC440" s="517"/>
      <c r="BD440" s="189"/>
      <c r="BE440" s="4"/>
      <c r="BF440" s="445"/>
      <c r="BG440" s="4"/>
      <c r="BH440" s="4"/>
      <c r="BI440" s="4"/>
      <c r="BJ440" s="4"/>
      <c r="BK440" s="4"/>
      <c r="BL440" s="4"/>
      <c r="BM440" s="4"/>
      <c r="BN440" s="4"/>
      <c r="BO440" s="4"/>
      <c r="BP440" s="4"/>
      <c r="BQ440" s="4"/>
      <c r="BR440" s="4"/>
      <c r="BS440" s="4"/>
      <c r="BT440" s="4"/>
    </row>
    <row r="441" spans="1:72" ht="15" customHeight="1">
      <c r="A441" s="354">
        <v>4627101827723</v>
      </c>
      <c r="B441" s="100">
        <v>2578</v>
      </c>
      <c r="C441" s="251" t="s">
        <v>2329</v>
      </c>
      <c r="D441" s="826"/>
      <c r="E441" s="110" t="s">
        <v>2327</v>
      </c>
      <c r="F441" s="248"/>
      <c r="G441" s="111"/>
      <c r="H441" s="111"/>
      <c r="I441" s="111"/>
      <c r="J441" s="306">
        <v>100</v>
      </c>
      <c r="K441" s="104">
        <f t="shared" ref="K441:K449" si="363">J441*F441</f>
        <v>0</v>
      </c>
      <c r="L441" s="413">
        <f t="shared" ref="L441:L469" si="364">J441+J441*5%</f>
        <v>105</v>
      </c>
      <c r="M441" s="104">
        <f t="shared" ref="M441:M446" si="365">L441*F441</f>
        <v>0</v>
      </c>
      <c r="N441" s="413">
        <f t="shared" ref="N441:N469" si="366">J441+J441*10%</f>
        <v>110</v>
      </c>
      <c r="O441" s="104">
        <f t="shared" ref="O441:O446" si="367">N441*F441</f>
        <v>0</v>
      </c>
      <c r="P441" s="413">
        <f t="shared" ref="P441:P469" si="368">J441+J441*15%</f>
        <v>115</v>
      </c>
      <c r="Q441" s="104">
        <f t="shared" ref="Q441:Q446" si="369">P441*F441</f>
        <v>0</v>
      </c>
      <c r="R441" s="413">
        <f t="shared" ref="R441:R469" si="370">J441+J441*25%</f>
        <v>125</v>
      </c>
      <c r="S441" s="104">
        <f t="shared" ref="S441:S446" si="371">R441*F441</f>
        <v>0</v>
      </c>
      <c r="T441" s="388">
        <v>10</v>
      </c>
      <c r="U441" s="105">
        <f t="shared" ref="U441:U461" si="372">T441*F441</f>
        <v>0</v>
      </c>
      <c r="V441" s="106"/>
      <c r="W441" s="301"/>
      <c r="Y441" s="567">
        <v>6</v>
      </c>
      <c r="Z441" s="189"/>
      <c r="AA441" s="541" t="s">
        <v>2328</v>
      </c>
      <c r="AB441" s="535"/>
      <c r="AC441" s="535"/>
      <c r="AD441" s="713"/>
      <c r="AE441" s="713"/>
      <c r="AF441" s="700"/>
      <c r="AG441" s="700"/>
      <c r="AH441" s="547"/>
      <c r="AI441" s="478"/>
      <c r="AJ441" s="189"/>
      <c r="AK441" s="568"/>
      <c r="AM441" s="661"/>
      <c r="AN441" s="662"/>
      <c r="AO441" s="662"/>
      <c r="AP441" s="616"/>
      <c r="AQ441" s="609"/>
      <c r="AR441" s="621"/>
      <c r="AS441" s="618"/>
      <c r="AU441" s="189"/>
      <c r="AV441" s="189"/>
      <c r="AW441" s="189"/>
      <c r="AX441" s="521"/>
      <c r="AY441" s="507"/>
      <c r="AZ441" s="189"/>
      <c r="BA441" s="189"/>
      <c r="BB441" s="189"/>
      <c r="BC441" s="517"/>
      <c r="BD441" s="189"/>
      <c r="BF441" s="445"/>
    </row>
    <row r="442" spans="1:72" ht="16.149999999999999" customHeight="1">
      <c r="A442" s="354">
        <v>4627101827709</v>
      </c>
      <c r="B442" s="100">
        <v>2577</v>
      </c>
      <c r="C442" s="251" t="s">
        <v>2330</v>
      </c>
      <c r="D442" s="826"/>
      <c r="E442" s="110" t="s">
        <v>2327</v>
      </c>
      <c r="F442" s="248"/>
      <c r="G442" s="111"/>
      <c r="H442" s="111"/>
      <c r="I442" s="111"/>
      <c r="J442" s="306">
        <v>100</v>
      </c>
      <c r="K442" s="104">
        <f t="shared" si="363"/>
        <v>0</v>
      </c>
      <c r="L442" s="413">
        <f t="shared" si="364"/>
        <v>105</v>
      </c>
      <c r="M442" s="104">
        <f t="shared" si="365"/>
        <v>0</v>
      </c>
      <c r="N442" s="413">
        <f t="shared" si="366"/>
        <v>110</v>
      </c>
      <c r="O442" s="104">
        <f t="shared" si="367"/>
        <v>0</v>
      </c>
      <c r="P442" s="413">
        <f t="shared" si="368"/>
        <v>115</v>
      </c>
      <c r="Q442" s="104">
        <f t="shared" si="369"/>
        <v>0</v>
      </c>
      <c r="R442" s="413">
        <f t="shared" si="370"/>
        <v>125</v>
      </c>
      <c r="S442" s="104">
        <f t="shared" si="371"/>
        <v>0</v>
      </c>
      <c r="T442" s="388">
        <v>10</v>
      </c>
      <c r="U442" s="105">
        <f t="shared" si="372"/>
        <v>0</v>
      </c>
      <c r="V442" s="106"/>
      <c r="W442" s="301"/>
      <c r="Y442" s="567">
        <v>6</v>
      </c>
      <c r="Z442" s="189"/>
      <c r="AA442" s="541" t="s">
        <v>2328</v>
      </c>
      <c r="AB442" s="535"/>
      <c r="AC442" s="535"/>
      <c r="AD442" s="713"/>
      <c r="AE442" s="713"/>
      <c r="AF442" s="700"/>
      <c r="AG442" s="700"/>
      <c r="AH442" s="547"/>
      <c r="AI442" s="478"/>
      <c r="AJ442" s="189"/>
      <c r="AK442" s="568"/>
      <c r="AM442" s="661"/>
      <c r="AN442" s="662"/>
      <c r="AO442" s="662"/>
      <c r="AP442" s="616"/>
      <c r="AQ442" s="609"/>
      <c r="AR442" s="621"/>
      <c r="AS442" s="618"/>
      <c r="AU442" s="189"/>
      <c r="AV442" s="189"/>
      <c r="AW442" s="189"/>
      <c r="AX442" s="521"/>
      <c r="AY442" s="507"/>
      <c r="AZ442" s="189"/>
      <c r="BA442" s="189"/>
      <c r="BB442" s="189"/>
      <c r="BC442" s="517"/>
      <c r="BD442" s="189"/>
      <c r="BF442" s="445"/>
    </row>
    <row r="443" spans="1:72" ht="15.75" customHeight="1">
      <c r="A443" s="354">
        <v>4627101827747</v>
      </c>
      <c r="B443" s="100">
        <v>2579</v>
      </c>
      <c r="C443" s="251" t="s">
        <v>2331</v>
      </c>
      <c r="D443" s="826"/>
      <c r="E443" s="110" t="s">
        <v>2327</v>
      </c>
      <c r="F443" s="248"/>
      <c r="G443" s="111"/>
      <c r="H443" s="111"/>
      <c r="I443" s="111"/>
      <c r="J443" s="306">
        <v>100</v>
      </c>
      <c r="K443" s="104">
        <f t="shared" si="363"/>
        <v>0</v>
      </c>
      <c r="L443" s="413">
        <f t="shared" si="364"/>
        <v>105</v>
      </c>
      <c r="M443" s="104">
        <f t="shared" si="365"/>
        <v>0</v>
      </c>
      <c r="N443" s="413">
        <f t="shared" si="366"/>
        <v>110</v>
      </c>
      <c r="O443" s="104">
        <f t="shared" si="367"/>
        <v>0</v>
      </c>
      <c r="P443" s="413">
        <f t="shared" si="368"/>
        <v>115</v>
      </c>
      <c r="Q443" s="104">
        <f t="shared" si="369"/>
        <v>0</v>
      </c>
      <c r="R443" s="413">
        <f t="shared" si="370"/>
        <v>125</v>
      </c>
      <c r="S443" s="104">
        <f t="shared" si="371"/>
        <v>0</v>
      </c>
      <c r="T443" s="388">
        <v>10</v>
      </c>
      <c r="U443" s="105">
        <f t="shared" si="372"/>
        <v>0</v>
      </c>
      <c r="V443" s="106"/>
      <c r="W443" s="301"/>
      <c r="Y443" s="567">
        <v>6</v>
      </c>
      <c r="Z443" s="189"/>
      <c r="AA443" s="541" t="s">
        <v>2328</v>
      </c>
      <c r="AB443" s="535"/>
      <c r="AC443" s="535"/>
      <c r="AD443" s="713"/>
      <c r="AE443" s="713"/>
      <c r="AF443" s="700"/>
      <c r="AG443" s="700"/>
      <c r="AH443" s="547"/>
      <c r="AI443" s="478"/>
      <c r="AJ443" s="189"/>
      <c r="AK443" s="568"/>
      <c r="AM443" s="661"/>
      <c r="AN443" s="662"/>
      <c r="AO443" s="662"/>
      <c r="AP443" s="616"/>
      <c r="AQ443" s="609"/>
      <c r="AR443" s="621"/>
      <c r="AS443" s="618"/>
      <c r="AU443" s="189"/>
      <c r="AV443" s="189"/>
      <c r="AW443" s="189"/>
      <c r="AX443" s="521"/>
      <c r="AY443" s="507"/>
      <c r="AZ443" s="189"/>
      <c r="BA443" s="189"/>
      <c r="BB443" s="189"/>
      <c r="BC443" s="517"/>
      <c r="BD443" s="189"/>
      <c r="BF443" s="445"/>
    </row>
    <row r="444" spans="1:72" ht="15.75" customHeight="1">
      <c r="A444" s="354">
        <v>4627101829833</v>
      </c>
      <c r="B444" s="100">
        <v>3441</v>
      </c>
      <c r="C444" s="251" t="s">
        <v>2332</v>
      </c>
      <c r="D444" s="826"/>
      <c r="E444" s="110" t="s">
        <v>222</v>
      </c>
      <c r="F444" s="248"/>
      <c r="G444" s="111"/>
      <c r="H444" s="111"/>
      <c r="I444" s="111"/>
      <c r="J444" s="315">
        <v>55</v>
      </c>
      <c r="K444" s="104">
        <f t="shared" si="363"/>
        <v>0</v>
      </c>
      <c r="L444" s="413">
        <f t="shared" si="364"/>
        <v>57.75</v>
      </c>
      <c r="M444" s="104">
        <f t="shared" si="365"/>
        <v>0</v>
      </c>
      <c r="N444" s="413">
        <f t="shared" si="366"/>
        <v>60.5</v>
      </c>
      <c r="O444" s="104">
        <f t="shared" si="367"/>
        <v>0</v>
      </c>
      <c r="P444" s="413">
        <f t="shared" si="368"/>
        <v>63.25</v>
      </c>
      <c r="Q444" s="104">
        <f t="shared" si="369"/>
        <v>0</v>
      </c>
      <c r="R444" s="413">
        <f t="shared" si="370"/>
        <v>68.75</v>
      </c>
      <c r="S444" s="104">
        <f t="shared" si="371"/>
        <v>0</v>
      </c>
      <c r="T444" s="105">
        <v>40</v>
      </c>
      <c r="U444" s="105">
        <f t="shared" si="372"/>
        <v>0</v>
      </c>
      <c r="V444" s="106"/>
      <c r="W444" s="301"/>
      <c r="Y444" s="567">
        <v>6</v>
      </c>
      <c r="Z444" s="189"/>
      <c r="AA444" s="541" t="s">
        <v>2328</v>
      </c>
      <c r="AB444" s="535"/>
      <c r="AC444" s="535"/>
      <c r="AD444" s="713"/>
      <c r="AE444" s="713"/>
      <c r="AF444" s="700"/>
      <c r="AG444" s="700"/>
      <c r="AH444" s="547"/>
      <c r="AI444" s="478"/>
      <c r="AJ444" s="189"/>
      <c r="AK444" s="568"/>
      <c r="AM444" s="661"/>
      <c r="AN444" s="662"/>
      <c r="AO444" s="662"/>
      <c r="AP444" s="616"/>
      <c r="AQ444" s="609"/>
      <c r="AR444" s="621"/>
      <c r="AS444" s="618"/>
      <c r="AU444" s="189"/>
      <c r="AV444" s="189"/>
      <c r="AW444" s="189"/>
      <c r="AX444" s="521"/>
      <c r="AY444" s="507"/>
      <c r="AZ444" s="189"/>
      <c r="BA444" s="189"/>
      <c r="BB444" s="189"/>
      <c r="BC444" s="517"/>
      <c r="BD444" s="189"/>
      <c r="BF444" s="445"/>
    </row>
    <row r="445" spans="1:72" ht="15.75" customHeight="1">
      <c r="A445" s="354">
        <v>4627101829840</v>
      </c>
      <c r="B445" s="100">
        <v>3440</v>
      </c>
      <c r="C445" s="251" t="s">
        <v>2333</v>
      </c>
      <c r="D445" s="826"/>
      <c r="E445" s="110" t="s">
        <v>222</v>
      </c>
      <c r="F445" s="248"/>
      <c r="G445" s="111"/>
      <c r="H445" s="111"/>
      <c r="I445" s="111"/>
      <c r="J445" s="315">
        <v>55</v>
      </c>
      <c r="K445" s="104">
        <f t="shared" si="363"/>
        <v>0</v>
      </c>
      <c r="L445" s="413">
        <f t="shared" si="364"/>
        <v>57.75</v>
      </c>
      <c r="M445" s="104">
        <f t="shared" si="365"/>
        <v>0</v>
      </c>
      <c r="N445" s="413">
        <f t="shared" si="366"/>
        <v>60.5</v>
      </c>
      <c r="O445" s="104">
        <f t="shared" si="367"/>
        <v>0</v>
      </c>
      <c r="P445" s="413">
        <f t="shared" si="368"/>
        <v>63.25</v>
      </c>
      <c r="Q445" s="104">
        <f t="shared" si="369"/>
        <v>0</v>
      </c>
      <c r="R445" s="413">
        <f t="shared" si="370"/>
        <v>68.75</v>
      </c>
      <c r="S445" s="104">
        <f t="shared" si="371"/>
        <v>0</v>
      </c>
      <c r="T445" s="105">
        <v>40</v>
      </c>
      <c r="U445" s="105">
        <f t="shared" si="372"/>
        <v>0</v>
      </c>
      <c r="V445" s="106"/>
      <c r="W445" s="301"/>
      <c r="Y445" s="567">
        <v>6</v>
      </c>
      <c r="Z445" s="189"/>
      <c r="AA445" s="541" t="s">
        <v>2328</v>
      </c>
      <c r="AB445" s="535"/>
      <c r="AC445" s="535"/>
      <c r="AD445" s="713"/>
      <c r="AE445" s="713"/>
      <c r="AF445" s="700"/>
      <c r="AG445" s="700"/>
      <c r="AH445" s="547"/>
      <c r="AI445" s="478"/>
      <c r="AJ445" s="189"/>
      <c r="AK445" s="568"/>
      <c r="AM445" s="661"/>
      <c r="AN445" s="662"/>
      <c r="AO445" s="662"/>
      <c r="AP445" s="616"/>
      <c r="AQ445" s="609"/>
      <c r="AR445" s="621"/>
      <c r="AS445" s="618"/>
      <c r="AU445" s="189"/>
      <c r="AV445" s="189"/>
      <c r="AW445" s="189"/>
      <c r="AX445" s="521"/>
      <c r="AY445" s="507"/>
      <c r="AZ445" s="189"/>
      <c r="BA445" s="189"/>
      <c r="BB445" s="189"/>
      <c r="BC445" s="517"/>
      <c r="BD445" s="189"/>
      <c r="BF445" s="445"/>
    </row>
    <row r="446" spans="1:72" ht="15.75" customHeight="1">
      <c r="A446" s="354">
        <v>4627101829826</v>
      </c>
      <c r="B446" s="100">
        <v>3442</v>
      </c>
      <c r="C446" s="251" t="s">
        <v>2334</v>
      </c>
      <c r="D446" s="826"/>
      <c r="E446" s="110" t="s">
        <v>222</v>
      </c>
      <c r="F446" s="248"/>
      <c r="G446" s="111"/>
      <c r="H446" s="111"/>
      <c r="I446" s="111"/>
      <c r="J446" s="315">
        <v>55</v>
      </c>
      <c r="K446" s="104">
        <f t="shared" si="363"/>
        <v>0</v>
      </c>
      <c r="L446" s="413">
        <f t="shared" si="364"/>
        <v>57.75</v>
      </c>
      <c r="M446" s="104">
        <f t="shared" si="365"/>
        <v>0</v>
      </c>
      <c r="N446" s="413">
        <f t="shared" si="366"/>
        <v>60.5</v>
      </c>
      <c r="O446" s="104">
        <f t="shared" si="367"/>
        <v>0</v>
      </c>
      <c r="P446" s="413">
        <f t="shared" si="368"/>
        <v>63.25</v>
      </c>
      <c r="Q446" s="104">
        <f t="shared" si="369"/>
        <v>0</v>
      </c>
      <c r="R446" s="413">
        <f t="shared" si="370"/>
        <v>68.75</v>
      </c>
      <c r="S446" s="104">
        <f t="shared" si="371"/>
        <v>0</v>
      </c>
      <c r="T446" s="105">
        <v>40</v>
      </c>
      <c r="U446" s="105">
        <f t="shared" si="372"/>
        <v>0</v>
      </c>
      <c r="V446" s="106"/>
      <c r="W446" s="301"/>
      <c r="Y446" s="567">
        <v>6</v>
      </c>
      <c r="Z446" s="189"/>
      <c r="AA446" s="541" t="s">
        <v>2328</v>
      </c>
      <c r="AB446" s="535"/>
      <c r="AC446" s="535"/>
      <c r="AD446" s="713"/>
      <c r="AE446" s="713"/>
      <c r="AF446" s="700"/>
      <c r="AG446" s="700"/>
      <c r="AH446" s="547"/>
      <c r="AI446" s="478"/>
      <c r="AJ446" s="189"/>
      <c r="AK446" s="568"/>
      <c r="AM446" s="661"/>
      <c r="AN446" s="662"/>
      <c r="AO446" s="662"/>
      <c r="AP446" s="616"/>
      <c r="AQ446" s="609"/>
      <c r="AR446" s="621"/>
      <c r="AS446" s="618"/>
      <c r="AU446" s="189"/>
      <c r="AV446" s="189"/>
      <c r="AW446" s="189"/>
      <c r="AX446" s="521"/>
      <c r="AY446" s="507"/>
      <c r="AZ446" s="189"/>
      <c r="BA446" s="189"/>
      <c r="BB446" s="189"/>
      <c r="BC446" s="517"/>
      <c r="BD446" s="189"/>
      <c r="BF446" s="445"/>
    </row>
    <row r="447" spans="1:72" ht="14.25" customHeight="1">
      <c r="A447" s="354">
        <v>4627101828126</v>
      </c>
      <c r="B447" s="100">
        <v>2658</v>
      </c>
      <c r="C447" s="251" t="s">
        <v>2335</v>
      </c>
      <c r="D447" s="826"/>
      <c r="E447" s="110" t="s">
        <v>2327</v>
      </c>
      <c r="F447" s="248"/>
      <c r="G447" s="111"/>
      <c r="H447" s="111"/>
      <c r="I447" s="111"/>
      <c r="J447" s="418">
        <v>105</v>
      </c>
      <c r="K447" s="104">
        <f t="shared" si="363"/>
        <v>0</v>
      </c>
      <c r="L447" s="413">
        <f t="shared" si="364"/>
        <v>110.25</v>
      </c>
      <c r="M447" s="104">
        <f>F447*L447</f>
        <v>0</v>
      </c>
      <c r="N447" s="413">
        <f t="shared" si="366"/>
        <v>115.5</v>
      </c>
      <c r="O447" s="104">
        <f>F447*N447</f>
        <v>0</v>
      </c>
      <c r="P447" s="413">
        <f t="shared" si="368"/>
        <v>120.75</v>
      </c>
      <c r="Q447" s="104">
        <f>F447*P447</f>
        <v>0</v>
      </c>
      <c r="R447" s="413">
        <f t="shared" si="370"/>
        <v>131.25</v>
      </c>
      <c r="S447" s="104">
        <f>F447*R447</f>
        <v>0</v>
      </c>
      <c r="T447" s="388">
        <v>10</v>
      </c>
      <c r="U447" s="105">
        <f t="shared" si="372"/>
        <v>0</v>
      </c>
      <c r="V447" s="106"/>
      <c r="W447" s="301"/>
      <c r="Y447" s="567">
        <v>6</v>
      </c>
      <c r="Z447" s="189"/>
      <c r="AA447" s="541" t="s">
        <v>2328</v>
      </c>
      <c r="AB447" s="535"/>
      <c r="AC447" s="535"/>
      <c r="AD447" s="713"/>
      <c r="AE447" s="713"/>
      <c r="AF447" s="700"/>
      <c r="AG447" s="700"/>
      <c r="AH447" s="547"/>
      <c r="AI447" s="478"/>
      <c r="AJ447" s="189"/>
      <c r="AK447" s="568"/>
      <c r="AM447" s="661"/>
      <c r="AN447" s="662"/>
      <c r="AO447" s="662"/>
      <c r="AP447" s="616"/>
      <c r="AQ447" s="609"/>
      <c r="AR447" s="621"/>
      <c r="AS447" s="618"/>
      <c r="AU447" s="189"/>
      <c r="AV447" s="189"/>
      <c r="AW447" s="189"/>
      <c r="AX447" s="521"/>
      <c r="AY447" s="507"/>
      <c r="AZ447" s="189"/>
      <c r="BA447" s="189"/>
      <c r="BB447" s="189"/>
      <c r="BC447" s="517"/>
      <c r="BD447" s="189"/>
      <c r="BF447" s="445"/>
    </row>
    <row r="448" spans="1:72" ht="15" customHeight="1">
      <c r="A448" s="354">
        <v>4627101828140</v>
      </c>
      <c r="B448" s="100">
        <v>2659</v>
      </c>
      <c r="C448" s="251" t="s">
        <v>2336</v>
      </c>
      <c r="D448" s="826"/>
      <c r="E448" s="110" t="s">
        <v>2327</v>
      </c>
      <c r="F448" s="248"/>
      <c r="G448" s="111"/>
      <c r="H448" s="111"/>
      <c r="I448" s="111"/>
      <c r="J448" s="418">
        <v>125</v>
      </c>
      <c r="K448" s="104">
        <f t="shared" si="363"/>
        <v>0</v>
      </c>
      <c r="L448" s="413">
        <f t="shared" si="364"/>
        <v>131.25</v>
      </c>
      <c r="M448" s="104">
        <f>F448*L448</f>
        <v>0</v>
      </c>
      <c r="N448" s="413">
        <f t="shared" si="366"/>
        <v>137.5</v>
      </c>
      <c r="O448" s="104">
        <f>F448*N448</f>
        <v>0</v>
      </c>
      <c r="P448" s="413">
        <f t="shared" si="368"/>
        <v>143.75</v>
      </c>
      <c r="Q448" s="104">
        <f>F448*P448</f>
        <v>0</v>
      </c>
      <c r="R448" s="413">
        <f t="shared" si="370"/>
        <v>156.25</v>
      </c>
      <c r="S448" s="104">
        <f>F448*R448</f>
        <v>0</v>
      </c>
      <c r="T448" s="388">
        <v>10</v>
      </c>
      <c r="U448" s="105">
        <f t="shared" si="372"/>
        <v>0</v>
      </c>
      <c r="V448" s="106"/>
      <c r="W448" s="301"/>
      <c r="Y448" s="567">
        <v>6</v>
      </c>
      <c r="Z448" s="189"/>
      <c r="AA448" s="541" t="s">
        <v>2328</v>
      </c>
      <c r="AB448" s="535"/>
      <c r="AC448" s="535"/>
      <c r="AD448" s="713"/>
      <c r="AE448" s="713"/>
      <c r="AF448" s="700"/>
      <c r="AG448" s="700"/>
      <c r="AH448" s="547"/>
      <c r="AI448" s="478"/>
      <c r="AJ448" s="189"/>
      <c r="AK448" s="568"/>
      <c r="AM448" s="661"/>
      <c r="AN448" s="662"/>
      <c r="AO448" s="662"/>
      <c r="AP448" s="616"/>
      <c r="AQ448" s="609"/>
      <c r="AR448" s="621"/>
      <c r="AS448" s="618"/>
      <c r="AU448" s="189"/>
      <c r="AV448" s="189"/>
      <c r="AW448" s="189"/>
      <c r="AX448" s="521"/>
      <c r="AY448" s="507"/>
      <c r="AZ448" s="189"/>
      <c r="BA448" s="189"/>
      <c r="BB448" s="189"/>
      <c r="BC448" s="517"/>
      <c r="BD448" s="189"/>
      <c r="BF448" s="445"/>
    </row>
    <row r="449" spans="1:58" ht="15" customHeight="1">
      <c r="A449" s="354">
        <v>4627101828928</v>
      </c>
      <c r="B449" s="100">
        <v>2830</v>
      </c>
      <c r="C449" s="251" t="s">
        <v>2337</v>
      </c>
      <c r="D449" s="826"/>
      <c r="E449" s="110" t="s">
        <v>2327</v>
      </c>
      <c r="F449" s="248"/>
      <c r="G449" s="111"/>
      <c r="H449" s="111"/>
      <c r="I449" s="111"/>
      <c r="J449" s="306">
        <v>100</v>
      </c>
      <c r="K449" s="104">
        <f t="shared" si="363"/>
        <v>0</v>
      </c>
      <c r="L449" s="413">
        <f t="shared" si="364"/>
        <v>105</v>
      </c>
      <c r="M449" s="104">
        <f>L449*F449</f>
        <v>0</v>
      </c>
      <c r="N449" s="413">
        <f t="shared" si="366"/>
        <v>110</v>
      </c>
      <c r="O449" s="104">
        <f>N449*F449</f>
        <v>0</v>
      </c>
      <c r="P449" s="413">
        <f t="shared" si="368"/>
        <v>115</v>
      </c>
      <c r="Q449" s="104">
        <f>P449*F449</f>
        <v>0</v>
      </c>
      <c r="R449" s="413">
        <f t="shared" si="370"/>
        <v>125</v>
      </c>
      <c r="S449" s="104">
        <f>R449*F449</f>
        <v>0</v>
      </c>
      <c r="T449" s="388">
        <v>10</v>
      </c>
      <c r="U449" s="105">
        <f t="shared" si="372"/>
        <v>0</v>
      </c>
      <c r="V449" s="106"/>
      <c r="W449" s="301"/>
      <c r="Y449" s="567">
        <v>6</v>
      </c>
      <c r="Z449" s="189"/>
      <c r="AA449" s="541" t="s">
        <v>2328</v>
      </c>
      <c r="AB449" s="535"/>
      <c r="AC449" s="535"/>
      <c r="AD449" s="713"/>
      <c r="AE449" s="713"/>
      <c r="AF449" s="700"/>
      <c r="AG449" s="700"/>
      <c r="AH449" s="547"/>
      <c r="AI449" s="478"/>
      <c r="AJ449" s="189"/>
      <c r="AK449" s="568"/>
      <c r="AM449" s="661"/>
      <c r="AN449" s="662"/>
      <c r="AO449" s="662"/>
      <c r="AP449" s="616"/>
      <c r="AQ449" s="609"/>
      <c r="AR449" s="621"/>
      <c r="AS449" s="618"/>
      <c r="AU449" s="189"/>
      <c r="AV449" s="189"/>
      <c r="AW449" s="189"/>
      <c r="AX449" s="521"/>
      <c r="AY449" s="507"/>
      <c r="AZ449" s="189"/>
      <c r="BA449" s="189"/>
      <c r="BB449" s="189"/>
      <c r="BC449" s="517"/>
      <c r="BD449" s="189"/>
      <c r="BF449" s="445"/>
    </row>
    <row r="450" spans="1:58" ht="14.25" customHeight="1">
      <c r="A450" s="354">
        <v>4627101823305</v>
      </c>
      <c r="B450" s="100">
        <v>1898</v>
      </c>
      <c r="C450" s="251" t="s">
        <v>2338</v>
      </c>
      <c r="D450" s="826"/>
      <c r="E450" s="110" t="s">
        <v>401</v>
      </c>
      <c r="F450" s="248"/>
      <c r="G450" s="111"/>
      <c r="H450" s="111"/>
      <c r="I450" s="111"/>
      <c r="J450" s="418">
        <v>75</v>
      </c>
      <c r="K450" s="104">
        <f>F450*J450</f>
        <v>0</v>
      </c>
      <c r="L450" s="413">
        <f t="shared" si="364"/>
        <v>78.75</v>
      </c>
      <c r="M450" s="104">
        <f t="shared" ref="M450:M454" si="373">F450*L450</f>
        <v>0</v>
      </c>
      <c r="N450" s="413">
        <f t="shared" si="366"/>
        <v>82.5</v>
      </c>
      <c r="O450" s="104">
        <f t="shared" ref="O450:O454" si="374">F450*N450</f>
        <v>0</v>
      </c>
      <c r="P450" s="413">
        <f t="shared" si="368"/>
        <v>86.25</v>
      </c>
      <c r="Q450" s="104">
        <f t="shared" ref="Q450:Q454" si="375">F450*P450</f>
        <v>0</v>
      </c>
      <c r="R450" s="413">
        <f t="shared" si="370"/>
        <v>93.75</v>
      </c>
      <c r="S450" s="104">
        <f t="shared" ref="S450" si="376">F450*R450</f>
        <v>0</v>
      </c>
      <c r="T450" s="388">
        <v>63</v>
      </c>
      <c r="U450" s="105">
        <f t="shared" si="372"/>
        <v>0</v>
      </c>
      <c r="V450" s="106"/>
      <c r="W450" s="301"/>
      <c r="Y450" s="567">
        <v>9</v>
      </c>
      <c r="Z450" s="189"/>
      <c r="AA450" s="541" t="s">
        <v>2328</v>
      </c>
      <c r="AB450" s="535"/>
      <c r="AC450" s="535"/>
      <c r="AD450" s="713"/>
      <c r="AE450" s="713"/>
      <c r="AF450" s="700"/>
      <c r="AG450" s="700"/>
      <c r="AH450" s="547"/>
      <c r="AI450" s="478"/>
      <c r="AJ450" s="189"/>
      <c r="AK450" s="568"/>
      <c r="AM450" s="661"/>
      <c r="AN450" s="662"/>
      <c r="AO450" s="662"/>
      <c r="AP450" s="616"/>
      <c r="AQ450" s="609"/>
      <c r="AR450" s="621"/>
      <c r="AS450" s="618"/>
      <c r="AU450" s="189"/>
      <c r="AV450" s="189"/>
      <c r="AW450" s="189"/>
      <c r="AX450" s="521"/>
      <c r="AY450" s="507"/>
      <c r="AZ450" s="189"/>
      <c r="BA450" s="189"/>
      <c r="BB450" s="189"/>
      <c r="BC450" s="517"/>
      <c r="BD450" s="189"/>
      <c r="BF450" s="445"/>
    </row>
    <row r="451" spans="1:58" ht="15.75" customHeight="1">
      <c r="A451" s="354">
        <v>4627101829178</v>
      </c>
      <c r="B451" s="100">
        <v>2996</v>
      </c>
      <c r="C451" s="355" t="s">
        <v>2339</v>
      </c>
      <c r="D451" s="826"/>
      <c r="E451" s="219" t="s">
        <v>208</v>
      </c>
      <c r="F451" s="248"/>
      <c r="G451" s="190"/>
      <c r="H451" s="190"/>
      <c r="I451" s="399"/>
      <c r="J451" s="418">
        <v>40</v>
      </c>
      <c r="K451" s="104">
        <f t="shared" ref="K451:K455" si="377">F451*J451</f>
        <v>0</v>
      </c>
      <c r="L451" s="413">
        <f t="shared" si="364"/>
        <v>42</v>
      </c>
      <c r="M451" s="104">
        <f t="shared" si="373"/>
        <v>0</v>
      </c>
      <c r="N451" s="413">
        <f t="shared" si="366"/>
        <v>44</v>
      </c>
      <c r="O451" s="104">
        <f t="shared" si="374"/>
        <v>0</v>
      </c>
      <c r="P451" s="413">
        <f t="shared" si="368"/>
        <v>46</v>
      </c>
      <c r="Q451" s="104">
        <f t="shared" si="375"/>
        <v>0</v>
      </c>
      <c r="R451" s="413">
        <f t="shared" si="370"/>
        <v>50</v>
      </c>
      <c r="S451" s="104">
        <f t="shared" ref="S451:S469" si="378">R451*F451</f>
        <v>0</v>
      </c>
      <c r="T451" s="105">
        <v>40</v>
      </c>
      <c r="U451" s="105">
        <f t="shared" si="372"/>
        <v>0</v>
      </c>
      <c r="V451" s="106"/>
      <c r="W451" s="400"/>
      <c r="Y451" s="567">
        <v>12</v>
      </c>
      <c r="Z451" s="189"/>
      <c r="AA451" s="541" t="s">
        <v>2328</v>
      </c>
      <c r="AB451" s="535"/>
      <c r="AC451" s="535"/>
      <c r="AD451" s="713"/>
      <c r="AE451" s="713"/>
      <c r="AF451" s="700"/>
      <c r="AG451" s="700"/>
      <c r="AH451" s="547"/>
      <c r="AI451" s="478"/>
      <c r="AJ451" s="189"/>
      <c r="AK451" s="568"/>
      <c r="AM451" s="669"/>
      <c r="AN451" s="670"/>
      <c r="AO451" s="670"/>
      <c r="AP451" s="616"/>
      <c r="AQ451" s="609"/>
      <c r="AR451" s="621"/>
      <c r="AS451" s="618"/>
      <c r="AU451" s="189"/>
      <c r="AV451" s="189"/>
      <c r="AW451" s="189"/>
      <c r="AX451" s="521"/>
      <c r="AY451" s="507"/>
      <c r="AZ451" s="189"/>
      <c r="BA451" s="189"/>
      <c r="BB451" s="189"/>
      <c r="BC451" s="517"/>
      <c r="BD451" s="189"/>
      <c r="BF451" s="445"/>
    </row>
    <row r="452" spans="1:58" ht="15.75" customHeight="1">
      <c r="A452" s="354">
        <v>4627101829161</v>
      </c>
      <c r="B452" s="100">
        <v>2999</v>
      </c>
      <c r="C452" s="355" t="s">
        <v>2340</v>
      </c>
      <c r="D452" s="826"/>
      <c r="E452" s="219" t="s">
        <v>208</v>
      </c>
      <c r="F452" s="248"/>
      <c r="G452" s="190"/>
      <c r="H452" s="190"/>
      <c r="I452" s="399"/>
      <c r="J452" s="418">
        <v>40</v>
      </c>
      <c r="K452" s="104">
        <f t="shared" si="377"/>
        <v>0</v>
      </c>
      <c r="L452" s="413">
        <f t="shared" si="364"/>
        <v>42</v>
      </c>
      <c r="M452" s="104">
        <f t="shared" si="373"/>
        <v>0</v>
      </c>
      <c r="N452" s="413">
        <f t="shared" si="366"/>
        <v>44</v>
      </c>
      <c r="O452" s="104">
        <f t="shared" si="374"/>
        <v>0</v>
      </c>
      <c r="P452" s="413">
        <f t="shared" si="368"/>
        <v>46</v>
      </c>
      <c r="Q452" s="104">
        <f t="shared" si="375"/>
        <v>0</v>
      </c>
      <c r="R452" s="413">
        <f t="shared" si="370"/>
        <v>50</v>
      </c>
      <c r="S452" s="104">
        <f t="shared" si="378"/>
        <v>0</v>
      </c>
      <c r="T452" s="105">
        <v>40</v>
      </c>
      <c r="U452" s="105">
        <f t="shared" si="372"/>
        <v>0</v>
      </c>
      <c r="V452" s="106"/>
      <c r="W452" s="400"/>
      <c r="Y452" s="567">
        <v>12</v>
      </c>
      <c r="Z452" s="189"/>
      <c r="AA452" s="541" t="s">
        <v>2328</v>
      </c>
      <c r="AB452" s="535"/>
      <c r="AC452" s="535"/>
      <c r="AD452" s="713"/>
      <c r="AE452" s="713"/>
      <c r="AF452" s="700"/>
      <c r="AG452" s="700"/>
      <c r="AH452" s="547"/>
      <c r="AI452" s="478"/>
      <c r="AJ452" s="189"/>
      <c r="AK452" s="568"/>
      <c r="AM452" s="669"/>
      <c r="AN452" s="670"/>
      <c r="AO452" s="670"/>
      <c r="AP452" s="616"/>
      <c r="AQ452" s="609"/>
      <c r="AR452" s="621"/>
      <c r="AS452" s="618"/>
      <c r="AU452" s="189"/>
      <c r="AV452" s="189"/>
      <c r="AW452" s="189"/>
      <c r="AX452" s="521"/>
      <c r="AY452" s="507"/>
      <c r="AZ452" s="189"/>
      <c r="BA452" s="189"/>
      <c r="BB452" s="189"/>
      <c r="BC452" s="517"/>
      <c r="BD452" s="189"/>
      <c r="BF452" s="445"/>
    </row>
    <row r="453" spans="1:58" ht="15.75" customHeight="1">
      <c r="A453" s="354">
        <v>4627101829154</v>
      </c>
      <c r="B453" s="100">
        <v>2995</v>
      </c>
      <c r="C453" s="355" t="s">
        <v>2341</v>
      </c>
      <c r="D453" s="826"/>
      <c r="E453" s="219" t="s">
        <v>208</v>
      </c>
      <c r="F453" s="248"/>
      <c r="G453" s="190"/>
      <c r="H453" s="190"/>
      <c r="I453" s="399"/>
      <c r="J453" s="418">
        <v>40</v>
      </c>
      <c r="K453" s="104">
        <f t="shared" si="377"/>
        <v>0</v>
      </c>
      <c r="L453" s="413">
        <f t="shared" si="364"/>
        <v>42</v>
      </c>
      <c r="M453" s="104">
        <f t="shared" si="373"/>
        <v>0</v>
      </c>
      <c r="N453" s="413">
        <f t="shared" si="366"/>
        <v>44</v>
      </c>
      <c r="O453" s="104">
        <f t="shared" si="374"/>
        <v>0</v>
      </c>
      <c r="P453" s="413">
        <f t="shared" si="368"/>
        <v>46</v>
      </c>
      <c r="Q453" s="104">
        <f t="shared" si="375"/>
        <v>0</v>
      </c>
      <c r="R453" s="413">
        <f t="shared" si="370"/>
        <v>50</v>
      </c>
      <c r="S453" s="104">
        <f t="shared" si="378"/>
        <v>0</v>
      </c>
      <c r="T453" s="105">
        <v>40</v>
      </c>
      <c r="U453" s="105">
        <f t="shared" si="372"/>
        <v>0</v>
      </c>
      <c r="V453" s="106"/>
      <c r="W453" s="400"/>
      <c r="Y453" s="567">
        <v>12</v>
      </c>
      <c r="Z453" s="189"/>
      <c r="AA453" s="541" t="s">
        <v>2328</v>
      </c>
      <c r="AB453" s="535"/>
      <c r="AC453" s="535"/>
      <c r="AD453" s="713"/>
      <c r="AE453" s="713"/>
      <c r="AF453" s="700"/>
      <c r="AG453" s="700"/>
      <c r="AH453" s="547"/>
      <c r="AI453" s="478"/>
      <c r="AJ453" s="189"/>
      <c r="AK453" s="568"/>
      <c r="AM453" s="669"/>
      <c r="AN453" s="670"/>
      <c r="AO453" s="670"/>
      <c r="AP453" s="616"/>
      <c r="AQ453" s="609"/>
      <c r="AR453" s="621"/>
      <c r="AS453" s="618"/>
      <c r="AU453" s="189"/>
      <c r="AV453" s="189"/>
      <c r="AW453" s="189"/>
      <c r="AX453" s="521"/>
      <c r="AY453" s="507"/>
      <c r="AZ453" s="189"/>
      <c r="BA453" s="189"/>
      <c r="BB453" s="189"/>
      <c r="BC453" s="517"/>
      <c r="BD453" s="189"/>
      <c r="BF453" s="445"/>
    </row>
    <row r="454" spans="1:58" ht="15.75" customHeight="1">
      <c r="A454" s="354">
        <v>4627101829185</v>
      </c>
      <c r="B454" s="100">
        <v>2998</v>
      </c>
      <c r="C454" s="355" t="s">
        <v>2342</v>
      </c>
      <c r="D454" s="826"/>
      <c r="E454" s="219" t="s">
        <v>208</v>
      </c>
      <c r="F454" s="248"/>
      <c r="G454" s="190"/>
      <c r="H454" s="190"/>
      <c r="I454" s="399"/>
      <c r="J454" s="418">
        <v>40</v>
      </c>
      <c r="K454" s="104">
        <f t="shared" si="377"/>
        <v>0</v>
      </c>
      <c r="L454" s="413">
        <f t="shared" si="364"/>
        <v>42</v>
      </c>
      <c r="M454" s="104">
        <f t="shared" si="373"/>
        <v>0</v>
      </c>
      <c r="N454" s="413">
        <f t="shared" si="366"/>
        <v>44</v>
      </c>
      <c r="O454" s="104">
        <f t="shared" si="374"/>
        <v>0</v>
      </c>
      <c r="P454" s="413">
        <f t="shared" si="368"/>
        <v>46</v>
      </c>
      <c r="Q454" s="104">
        <f t="shared" si="375"/>
        <v>0</v>
      </c>
      <c r="R454" s="413">
        <f t="shared" si="370"/>
        <v>50</v>
      </c>
      <c r="S454" s="104">
        <f t="shared" si="378"/>
        <v>0</v>
      </c>
      <c r="T454" s="105">
        <v>40</v>
      </c>
      <c r="U454" s="105">
        <f t="shared" si="372"/>
        <v>0</v>
      </c>
      <c r="V454" s="106"/>
      <c r="W454" s="400"/>
      <c r="Y454" s="567">
        <v>12</v>
      </c>
      <c r="Z454" s="189"/>
      <c r="AA454" s="541" t="s">
        <v>2328</v>
      </c>
      <c r="AB454" s="535"/>
      <c r="AC454" s="535"/>
      <c r="AD454" s="713"/>
      <c r="AE454" s="713"/>
      <c r="AF454" s="700"/>
      <c r="AG454" s="700"/>
      <c r="AH454" s="547"/>
      <c r="AI454" s="478"/>
      <c r="AJ454" s="189"/>
      <c r="AK454" s="568"/>
      <c r="AM454" s="669"/>
      <c r="AN454" s="670"/>
      <c r="AO454" s="670"/>
      <c r="AP454" s="616"/>
      <c r="AQ454" s="609"/>
      <c r="AR454" s="621"/>
      <c r="AS454" s="618"/>
      <c r="AU454" s="189"/>
      <c r="AV454" s="189"/>
      <c r="AW454" s="189"/>
      <c r="AX454" s="521"/>
      <c r="AY454" s="507"/>
      <c r="AZ454" s="189"/>
      <c r="BA454" s="189"/>
      <c r="BB454" s="189"/>
      <c r="BC454" s="517"/>
      <c r="BD454" s="189"/>
      <c r="BF454" s="445"/>
    </row>
    <row r="455" spans="1:58" ht="15" customHeight="1">
      <c r="A455" s="354">
        <v>4627101829239</v>
      </c>
      <c r="B455" s="100">
        <v>3000</v>
      </c>
      <c r="C455" s="355" t="s">
        <v>2343</v>
      </c>
      <c r="D455" s="826"/>
      <c r="E455" s="219" t="s">
        <v>208</v>
      </c>
      <c r="F455" s="248"/>
      <c r="G455" s="190"/>
      <c r="H455" s="190"/>
      <c r="I455" s="399"/>
      <c r="J455" s="315">
        <v>75</v>
      </c>
      <c r="K455" s="104">
        <f t="shared" si="377"/>
        <v>0</v>
      </c>
      <c r="L455" s="413">
        <f t="shared" si="364"/>
        <v>78.75</v>
      </c>
      <c r="M455" s="104">
        <f t="shared" ref="M455:M469" si="379">L455*F455</f>
        <v>0</v>
      </c>
      <c r="N455" s="413">
        <f t="shared" si="366"/>
        <v>82.5</v>
      </c>
      <c r="O455" s="104">
        <f>N455*F455</f>
        <v>0</v>
      </c>
      <c r="P455" s="413">
        <f t="shared" si="368"/>
        <v>86.25</v>
      </c>
      <c r="Q455" s="104">
        <f t="shared" ref="Q455:Q469" si="380">P455*F455</f>
        <v>0</v>
      </c>
      <c r="R455" s="413">
        <f t="shared" si="370"/>
        <v>93.75</v>
      </c>
      <c r="S455" s="104">
        <f t="shared" si="378"/>
        <v>0</v>
      </c>
      <c r="T455" s="105">
        <v>40</v>
      </c>
      <c r="U455" s="105">
        <f t="shared" si="372"/>
        <v>0</v>
      </c>
      <c r="V455" s="106"/>
      <c r="W455" s="400"/>
      <c r="Y455" s="567"/>
      <c r="Z455" s="189"/>
      <c r="AA455" s="541" t="s">
        <v>2328</v>
      </c>
      <c r="AB455" s="535"/>
      <c r="AC455" s="535"/>
      <c r="AD455" s="713"/>
      <c r="AE455" s="713"/>
      <c r="AF455" s="700"/>
      <c r="AG455" s="700"/>
      <c r="AH455" s="547"/>
      <c r="AI455" s="478"/>
      <c r="AJ455" s="189"/>
      <c r="AK455" s="568"/>
      <c r="AM455" s="669"/>
      <c r="AN455" s="670"/>
      <c r="AO455" s="670"/>
      <c r="AP455" s="616"/>
      <c r="AQ455" s="609"/>
      <c r="AR455" s="621"/>
      <c r="AS455" s="618"/>
      <c r="AU455" s="189"/>
      <c r="AV455" s="189"/>
      <c r="AW455" s="189"/>
      <c r="AX455" s="521"/>
      <c r="AY455" s="507"/>
      <c r="AZ455" s="189"/>
      <c r="BA455" s="189"/>
      <c r="BB455" s="189"/>
      <c r="BC455" s="517"/>
      <c r="BD455" s="189"/>
      <c r="BF455" s="445"/>
    </row>
    <row r="456" spans="1:58" ht="15.75" customHeight="1">
      <c r="A456" s="354">
        <v>4627101829215</v>
      </c>
      <c r="B456" s="100">
        <v>3001</v>
      </c>
      <c r="C456" s="369" t="s">
        <v>2344</v>
      </c>
      <c r="D456" s="833"/>
      <c r="E456" s="219" t="s">
        <v>208</v>
      </c>
      <c r="F456" s="248"/>
      <c r="G456" s="190"/>
      <c r="H456" s="190"/>
      <c r="I456" s="399"/>
      <c r="J456" s="315">
        <v>45</v>
      </c>
      <c r="K456" s="104">
        <f t="shared" ref="K456:K469" si="381">J456*F456</f>
        <v>0</v>
      </c>
      <c r="L456" s="413">
        <f t="shared" si="364"/>
        <v>47.25</v>
      </c>
      <c r="M456" s="104">
        <f t="shared" si="379"/>
        <v>0</v>
      </c>
      <c r="N456" s="413">
        <f t="shared" si="366"/>
        <v>49.5</v>
      </c>
      <c r="O456" s="104">
        <f>N456*F456</f>
        <v>0</v>
      </c>
      <c r="P456" s="413">
        <f t="shared" si="368"/>
        <v>51.75</v>
      </c>
      <c r="Q456" s="104">
        <f t="shared" si="380"/>
        <v>0</v>
      </c>
      <c r="R456" s="413">
        <f t="shared" si="370"/>
        <v>56.25</v>
      </c>
      <c r="S456" s="104">
        <f t="shared" si="378"/>
        <v>0</v>
      </c>
      <c r="T456" s="105">
        <v>40</v>
      </c>
      <c r="U456" s="105">
        <f t="shared" si="372"/>
        <v>0</v>
      </c>
      <c r="V456" s="106"/>
      <c r="W456" s="400"/>
      <c r="Y456" s="567"/>
      <c r="Z456" s="189"/>
      <c r="AA456" s="541" t="s">
        <v>2328</v>
      </c>
      <c r="AB456" s="535"/>
      <c r="AC456" s="535"/>
      <c r="AD456" s="713"/>
      <c r="AE456" s="713"/>
      <c r="AF456" s="700"/>
      <c r="AG456" s="700"/>
      <c r="AH456" s="547"/>
      <c r="AI456" s="478"/>
      <c r="AJ456" s="189"/>
      <c r="AK456" s="568"/>
      <c r="AM456" s="671"/>
      <c r="AN456" s="658"/>
      <c r="AO456" s="658"/>
      <c r="AP456" s="655"/>
      <c r="AQ456" s="609"/>
      <c r="AR456" s="656"/>
      <c r="AS456" s="657"/>
      <c r="AU456" s="189"/>
      <c r="AV456" s="189"/>
      <c r="AW456" s="189"/>
      <c r="AX456" s="521"/>
      <c r="AY456" s="507"/>
      <c r="AZ456" s="189"/>
      <c r="BA456" s="189"/>
      <c r="BB456" s="189"/>
      <c r="BC456" s="517"/>
      <c r="BD456" s="189"/>
      <c r="BF456" s="445"/>
    </row>
    <row r="457" spans="1:58" ht="17.25" customHeight="1">
      <c r="A457" s="354">
        <v>4627101829222</v>
      </c>
      <c r="B457" s="100">
        <v>3002</v>
      </c>
      <c r="C457" s="369" t="s">
        <v>2345</v>
      </c>
      <c r="D457" s="833"/>
      <c r="E457" s="219" t="s">
        <v>208</v>
      </c>
      <c r="F457" s="248"/>
      <c r="G457" s="190"/>
      <c r="H457" s="190"/>
      <c r="I457" s="399"/>
      <c r="J457" s="315">
        <v>50</v>
      </c>
      <c r="K457" s="104">
        <f t="shared" si="381"/>
        <v>0</v>
      </c>
      <c r="L457" s="413">
        <f t="shared" si="364"/>
        <v>52.5</v>
      </c>
      <c r="M457" s="104">
        <f t="shared" si="379"/>
        <v>0</v>
      </c>
      <c r="N457" s="413">
        <f t="shared" si="366"/>
        <v>55</v>
      </c>
      <c r="O457" s="104">
        <f>N457*F457</f>
        <v>0</v>
      </c>
      <c r="P457" s="413">
        <f t="shared" si="368"/>
        <v>57.5</v>
      </c>
      <c r="Q457" s="104">
        <f t="shared" si="380"/>
        <v>0</v>
      </c>
      <c r="R457" s="413">
        <f t="shared" si="370"/>
        <v>62.5</v>
      </c>
      <c r="S457" s="104">
        <f t="shared" si="378"/>
        <v>0</v>
      </c>
      <c r="T457" s="105">
        <v>40</v>
      </c>
      <c r="U457" s="105">
        <f t="shared" si="372"/>
        <v>0</v>
      </c>
      <c r="V457" s="106"/>
      <c r="W457" s="400"/>
      <c r="Y457" s="567"/>
      <c r="Z457" s="189"/>
      <c r="AA457" s="541" t="s">
        <v>2328</v>
      </c>
      <c r="AB457" s="535"/>
      <c r="AC457" s="535"/>
      <c r="AD457" s="713"/>
      <c r="AE457" s="713"/>
      <c r="AF457" s="700"/>
      <c r="AG457" s="700"/>
      <c r="AH457" s="547"/>
      <c r="AI457" s="478"/>
      <c r="AJ457" s="189"/>
      <c r="AK457" s="568"/>
      <c r="AM457" s="671"/>
      <c r="AN457" s="658"/>
      <c r="AO457" s="658"/>
      <c r="AP457" s="655"/>
      <c r="AQ457" s="609"/>
      <c r="AR457" s="656"/>
      <c r="AS457" s="657"/>
      <c r="AU457" s="189"/>
      <c r="AV457" s="189"/>
      <c r="AW457" s="189"/>
      <c r="AX457" s="521"/>
      <c r="AY457" s="507"/>
      <c r="AZ457" s="189"/>
      <c r="BA457" s="189"/>
      <c r="BB457" s="189"/>
      <c r="BC457" s="517"/>
      <c r="BD457" s="189"/>
      <c r="BF457" s="445"/>
    </row>
    <row r="458" spans="1:58" ht="16.149999999999999" customHeight="1">
      <c r="A458" s="354">
        <v>4627101827907</v>
      </c>
      <c r="B458" s="100">
        <v>2609</v>
      </c>
      <c r="C458" s="369" t="s">
        <v>2346</v>
      </c>
      <c r="D458" s="833"/>
      <c r="E458" s="396" t="s">
        <v>401</v>
      </c>
      <c r="F458" s="248"/>
      <c r="G458" s="190"/>
      <c r="H458" s="190"/>
      <c r="I458" s="399"/>
      <c r="J458" s="315">
        <v>70</v>
      </c>
      <c r="K458" s="104">
        <f t="shared" si="381"/>
        <v>0</v>
      </c>
      <c r="L458" s="413">
        <f t="shared" si="364"/>
        <v>73.5</v>
      </c>
      <c r="M458" s="104">
        <f t="shared" si="379"/>
        <v>0</v>
      </c>
      <c r="N458" s="413">
        <f t="shared" si="366"/>
        <v>77</v>
      </c>
      <c r="O458" s="104">
        <f>N458*F458</f>
        <v>0</v>
      </c>
      <c r="P458" s="413">
        <f t="shared" si="368"/>
        <v>80.5</v>
      </c>
      <c r="Q458" s="104">
        <f t="shared" si="380"/>
        <v>0</v>
      </c>
      <c r="R458" s="413">
        <f t="shared" si="370"/>
        <v>87.5</v>
      </c>
      <c r="S458" s="104">
        <f t="shared" si="378"/>
        <v>0</v>
      </c>
      <c r="T458" s="105">
        <v>63</v>
      </c>
      <c r="U458" s="105">
        <f t="shared" si="372"/>
        <v>0</v>
      </c>
      <c r="V458" s="106"/>
      <c r="W458" s="400"/>
      <c r="Y458" s="567">
        <v>9</v>
      </c>
      <c r="Z458" s="189"/>
      <c r="AA458" s="541" t="s">
        <v>2328</v>
      </c>
      <c r="AB458" s="535"/>
      <c r="AC458" s="535"/>
      <c r="AD458" s="713"/>
      <c r="AE458" s="713"/>
      <c r="AF458" s="700"/>
      <c r="AG458" s="700"/>
      <c r="AH458" s="547"/>
      <c r="AI458" s="478"/>
      <c r="AJ458" s="189"/>
      <c r="AK458" s="568"/>
      <c r="AM458" s="671"/>
      <c r="AN458" s="658"/>
      <c r="AO458" s="658"/>
      <c r="AP458" s="655"/>
      <c r="AQ458" s="609"/>
      <c r="AR458" s="656"/>
      <c r="AS458" s="657"/>
      <c r="AU458" s="189"/>
      <c r="AV458" s="189"/>
      <c r="AW458" s="189"/>
      <c r="AX458" s="521"/>
      <c r="AY458" s="507"/>
      <c r="AZ458" s="189"/>
      <c r="BA458" s="189"/>
      <c r="BB458" s="189"/>
      <c r="BC458" s="517"/>
      <c r="BD458" s="189"/>
      <c r="BF458" s="445"/>
    </row>
    <row r="459" spans="1:58" ht="16.149999999999999" customHeight="1">
      <c r="A459" s="354">
        <v>4627101827921</v>
      </c>
      <c r="B459" s="100">
        <v>2610</v>
      </c>
      <c r="C459" s="369" t="s">
        <v>2347</v>
      </c>
      <c r="D459" s="833"/>
      <c r="E459" s="396" t="s">
        <v>2348</v>
      </c>
      <c r="F459" s="248"/>
      <c r="G459" s="190"/>
      <c r="H459" s="190"/>
      <c r="I459" s="399"/>
      <c r="J459" s="315">
        <v>95</v>
      </c>
      <c r="K459" s="104">
        <f t="shared" si="381"/>
        <v>0</v>
      </c>
      <c r="L459" s="413">
        <f t="shared" si="364"/>
        <v>99.75</v>
      </c>
      <c r="M459" s="104">
        <f t="shared" si="379"/>
        <v>0</v>
      </c>
      <c r="N459" s="413">
        <f t="shared" si="366"/>
        <v>104.5</v>
      </c>
      <c r="O459" s="104">
        <f>N459*F459</f>
        <v>0</v>
      </c>
      <c r="P459" s="413">
        <f t="shared" si="368"/>
        <v>109.25</v>
      </c>
      <c r="Q459" s="104">
        <f t="shared" si="380"/>
        <v>0</v>
      </c>
      <c r="R459" s="413">
        <f t="shared" si="370"/>
        <v>118.75</v>
      </c>
      <c r="S459" s="104">
        <f t="shared" si="378"/>
        <v>0</v>
      </c>
      <c r="T459" s="105">
        <v>50</v>
      </c>
      <c r="U459" s="105">
        <f t="shared" si="372"/>
        <v>0</v>
      </c>
      <c r="V459" s="106"/>
      <c r="W459" s="400"/>
      <c r="Y459" s="567">
        <v>12</v>
      </c>
      <c r="Z459" s="189"/>
      <c r="AA459" s="541" t="s">
        <v>2328</v>
      </c>
      <c r="AB459" s="535"/>
      <c r="AC459" s="535"/>
      <c r="AD459" s="713"/>
      <c r="AE459" s="713"/>
      <c r="AF459" s="700"/>
      <c r="AG459" s="700"/>
      <c r="AH459" s="547"/>
      <c r="AI459" s="478"/>
      <c r="AJ459" s="189"/>
      <c r="AK459" s="568"/>
      <c r="AM459" s="671"/>
      <c r="AN459" s="658"/>
      <c r="AO459" s="658"/>
      <c r="AP459" s="655"/>
      <c r="AQ459" s="609"/>
      <c r="AR459" s="656"/>
      <c r="AS459" s="657"/>
      <c r="AU459" s="189"/>
      <c r="AV459" s="189"/>
      <c r="AW459" s="189"/>
      <c r="AX459" s="521"/>
      <c r="AY459" s="507"/>
      <c r="AZ459" s="189"/>
      <c r="BA459" s="189"/>
      <c r="BB459" s="189"/>
      <c r="BC459" s="517"/>
      <c r="BD459" s="189"/>
      <c r="BF459" s="445"/>
    </row>
    <row r="460" spans="1:58" ht="16.5" customHeight="1">
      <c r="A460" s="354">
        <v>4627101827945</v>
      </c>
      <c r="B460" s="100">
        <v>2611</v>
      </c>
      <c r="C460" s="369" t="s">
        <v>2349</v>
      </c>
      <c r="D460" s="833"/>
      <c r="E460" s="396" t="s">
        <v>2348</v>
      </c>
      <c r="F460" s="248"/>
      <c r="G460" s="190"/>
      <c r="H460" s="190"/>
      <c r="I460" s="399"/>
      <c r="J460" s="315">
        <v>100</v>
      </c>
      <c r="K460" s="104">
        <f t="shared" si="381"/>
        <v>0</v>
      </c>
      <c r="L460" s="413">
        <f t="shared" si="364"/>
        <v>105</v>
      </c>
      <c r="M460" s="104">
        <f t="shared" si="379"/>
        <v>0</v>
      </c>
      <c r="N460" s="413">
        <f t="shared" si="366"/>
        <v>110</v>
      </c>
      <c r="O460" s="104">
        <f>N460*F459</f>
        <v>0</v>
      </c>
      <c r="P460" s="413">
        <f t="shared" si="368"/>
        <v>115</v>
      </c>
      <c r="Q460" s="104">
        <f t="shared" si="380"/>
        <v>0</v>
      </c>
      <c r="R460" s="413">
        <f t="shared" si="370"/>
        <v>125</v>
      </c>
      <c r="S460" s="104">
        <f t="shared" si="378"/>
        <v>0</v>
      </c>
      <c r="T460" s="105">
        <v>50</v>
      </c>
      <c r="U460" s="105">
        <f t="shared" si="372"/>
        <v>0</v>
      </c>
      <c r="V460" s="106"/>
      <c r="W460" s="400"/>
      <c r="Y460" s="567">
        <v>12</v>
      </c>
      <c r="Z460" s="189"/>
      <c r="AA460" s="541" t="s">
        <v>2328</v>
      </c>
      <c r="AB460" s="535"/>
      <c r="AC460" s="535"/>
      <c r="AD460" s="713"/>
      <c r="AE460" s="713"/>
      <c r="AF460" s="700"/>
      <c r="AG460" s="700"/>
      <c r="AH460" s="547"/>
      <c r="AI460" s="478"/>
      <c r="AJ460" s="189"/>
      <c r="AK460" s="568"/>
      <c r="AM460" s="671"/>
      <c r="AN460" s="658"/>
      <c r="AO460" s="658"/>
      <c r="AP460" s="655"/>
      <c r="AQ460" s="609"/>
      <c r="AR460" s="656"/>
      <c r="AS460" s="657"/>
      <c r="AU460" s="189"/>
      <c r="AV460" s="189"/>
      <c r="AW460" s="189"/>
      <c r="AX460" s="521"/>
      <c r="AY460" s="507"/>
      <c r="AZ460" s="189"/>
      <c r="BA460" s="189"/>
      <c r="BB460" s="189"/>
      <c r="BC460" s="517"/>
      <c r="BD460" s="189"/>
      <c r="BF460" s="445"/>
    </row>
    <row r="461" spans="1:58" ht="16.5" customHeight="1">
      <c r="A461" s="354">
        <v>4627186342883</v>
      </c>
      <c r="B461" s="100">
        <v>4144</v>
      </c>
      <c r="C461" s="369" t="s">
        <v>2350</v>
      </c>
      <c r="D461" s="833"/>
      <c r="E461" s="396" t="s">
        <v>401</v>
      </c>
      <c r="F461" s="248"/>
      <c r="G461" s="190"/>
      <c r="H461" s="190"/>
      <c r="I461" s="399"/>
      <c r="J461" s="315">
        <v>80</v>
      </c>
      <c r="K461" s="104">
        <f t="shared" si="381"/>
        <v>0</v>
      </c>
      <c r="L461" s="413">
        <f t="shared" si="364"/>
        <v>84</v>
      </c>
      <c r="M461" s="104">
        <f t="shared" si="379"/>
        <v>0</v>
      </c>
      <c r="N461" s="413">
        <f t="shared" si="366"/>
        <v>88</v>
      </c>
      <c r="O461" s="104">
        <f t="shared" ref="O461:O469" si="382">N461*F461</f>
        <v>0</v>
      </c>
      <c r="P461" s="413">
        <f t="shared" si="368"/>
        <v>92</v>
      </c>
      <c r="Q461" s="104">
        <f t="shared" si="380"/>
        <v>0</v>
      </c>
      <c r="R461" s="413">
        <f t="shared" si="370"/>
        <v>100</v>
      </c>
      <c r="S461" s="104">
        <f t="shared" si="378"/>
        <v>0</v>
      </c>
      <c r="T461" s="105">
        <v>63</v>
      </c>
      <c r="U461" s="105">
        <f t="shared" si="372"/>
        <v>0</v>
      </c>
      <c r="V461" s="106"/>
      <c r="W461" s="400"/>
      <c r="Y461" s="567">
        <v>12</v>
      </c>
      <c r="Z461" s="189"/>
      <c r="AA461" s="541" t="s">
        <v>2328</v>
      </c>
      <c r="AB461" s="535"/>
      <c r="AC461" s="535"/>
      <c r="AD461" s="713"/>
      <c r="AE461" s="713"/>
      <c r="AF461" s="700"/>
      <c r="AG461" s="700"/>
      <c r="AH461" s="547"/>
      <c r="AI461" s="478"/>
      <c r="AJ461" s="189"/>
      <c r="AK461" s="568"/>
      <c r="AM461" s="671"/>
      <c r="AN461" s="658"/>
      <c r="AO461" s="658"/>
      <c r="AP461" s="655"/>
      <c r="AQ461" s="609"/>
      <c r="AR461" s="656"/>
      <c r="AS461" s="657"/>
      <c r="AU461" s="189"/>
      <c r="AV461" s="189"/>
      <c r="AW461" s="189"/>
      <c r="AX461" s="521"/>
      <c r="AY461" s="507"/>
      <c r="AZ461" s="189"/>
      <c r="BA461" s="189"/>
      <c r="BB461" s="189"/>
      <c r="BC461" s="517"/>
      <c r="BD461" s="189"/>
      <c r="BF461" s="445"/>
    </row>
    <row r="462" spans="1:58" ht="18" customHeight="1">
      <c r="A462" s="354">
        <v>4627186342586</v>
      </c>
      <c r="B462" s="100">
        <v>4098</v>
      </c>
      <c r="C462" s="369" t="s">
        <v>2351</v>
      </c>
      <c r="D462" s="833"/>
      <c r="E462" s="396"/>
      <c r="F462" s="248"/>
      <c r="G462" s="190"/>
      <c r="H462" s="190"/>
      <c r="I462" s="399"/>
      <c r="J462" s="315">
        <v>52</v>
      </c>
      <c r="K462" s="104">
        <f t="shared" si="381"/>
        <v>0</v>
      </c>
      <c r="L462" s="413">
        <f t="shared" si="364"/>
        <v>54.6</v>
      </c>
      <c r="M462" s="104">
        <f t="shared" si="379"/>
        <v>0</v>
      </c>
      <c r="N462" s="413">
        <f t="shared" si="366"/>
        <v>57.2</v>
      </c>
      <c r="O462" s="104">
        <f t="shared" si="382"/>
        <v>0</v>
      </c>
      <c r="P462" s="413">
        <f t="shared" si="368"/>
        <v>59.8</v>
      </c>
      <c r="Q462" s="104">
        <f t="shared" si="380"/>
        <v>0</v>
      </c>
      <c r="R462" s="413">
        <f t="shared" si="370"/>
        <v>65</v>
      </c>
      <c r="S462" s="104">
        <f t="shared" si="378"/>
        <v>0</v>
      </c>
      <c r="T462" s="105"/>
      <c r="U462" s="105"/>
      <c r="V462" s="106"/>
      <c r="W462" s="400">
        <v>100</v>
      </c>
      <c r="Y462" s="567"/>
      <c r="Z462" s="189"/>
      <c r="AA462" s="541" t="s">
        <v>2328</v>
      </c>
      <c r="AB462" s="535"/>
      <c r="AC462" s="535"/>
      <c r="AD462" s="713"/>
      <c r="AE462" s="713"/>
      <c r="AF462" s="700"/>
      <c r="AG462" s="700"/>
      <c r="AH462" s="547"/>
      <c r="AI462" s="478"/>
      <c r="AJ462" s="189"/>
      <c r="AK462" s="568"/>
      <c r="AM462" s="671"/>
      <c r="AN462" s="658"/>
      <c r="AO462" s="658"/>
      <c r="AP462" s="655"/>
      <c r="AQ462" s="609"/>
      <c r="AR462" s="656"/>
      <c r="AS462" s="657"/>
      <c r="AU462" s="189"/>
      <c r="AV462" s="189"/>
      <c r="AW462" s="189"/>
      <c r="AX462" s="521"/>
      <c r="AY462" s="507"/>
      <c r="AZ462" s="189"/>
      <c r="BA462" s="189"/>
      <c r="BB462" s="189"/>
      <c r="BC462" s="517"/>
      <c r="BD462" s="189"/>
      <c r="BF462" s="445"/>
    </row>
    <row r="463" spans="1:58" ht="18.75" customHeight="1">
      <c r="A463" s="354">
        <v>4627186342593</v>
      </c>
      <c r="B463" s="100">
        <v>4099</v>
      </c>
      <c r="C463" s="369" t="s">
        <v>2352</v>
      </c>
      <c r="D463" s="833"/>
      <c r="E463" s="396"/>
      <c r="F463" s="248"/>
      <c r="G463" s="190"/>
      <c r="H463" s="190"/>
      <c r="I463" s="399"/>
      <c r="J463" s="315">
        <v>52</v>
      </c>
      <c r="K463" s="104">
        <f t="shared" si="381"/>
        <v>0</v>
      </c>
      <c r="L463" s="413">
        <f t="shared" si="364"/>
        <v>54.6</v>
      </c>
      <c r="M463" s="104">
        <f t="shared" si="379"/>
        <v>0</v>
      </c>
      <c r="N463" s="413">
        <f t="shared" si="366"/>
        <v>57.2</v>
      </c>
      <c r="O463" s="104">
        <f t="shared" si="382"/>
        <v>0</v>
      </c>
      <c r="P463" s="413">
        <f t="shared" si="368"/>
        <v>59.8</v>
      </c>
      <c r="Q463" s="104">
        <f t="shared" si="380"/>
        <v>0</v>
      </c>
      <c r="R463" s="413">
        <f t="shared" si="370"/>
        <v>65</v>
      </c>
      <c r="S463" s="104">
        <f t="shared" si="378"/>
        <v>0</v>
      </c>
      <c r="T463" s="105"/>
      <c r="U463" s="105"/>
      <c r="V463" s="106"/>
      <c r="W463" s="400">
        <v>100</v>
      </c>
      <c r="Y463" s="567"/>
      <c r="Z463" s="189"/>
      <c r="AA463" s="541" t="s">
        <v>2328</v>
      </c>
      <c r="AB463" s="535"/>
      <c r="AC463" s="535"/>
      <c r="AD463" s="713"/>
      <c r="AE463" s="713"/>
      <c r="AF463" s="700"/>
      <c r="AG463" s="700"/>
      <c r="AH463" s="547"/>
      <c r="AI463" s="478"/>
      <c r="AJ463" s="189"/>
      <c r="AK463" s="568"/>
      <c r="AM463" s="671"/>
      <c r="AN463" s="658"/>
      <c r="AO463" s="658"/>
      <c r="AP463" s="655"/>
      <c r="AQ463" s="609"/>
      <c r="AR463" s="656"/>
      <c r="AS463" s="657"/>
      <c r="AU463" s="189"/>
      <c r="AV463" s="189"/>
      <c r="AW463" s="189"/>
      <c r="AX463" s="521"/>
      <c r="AY463" s="507"/>
      <c r="AZ463" s="189"/>
      <c r="BA463" s="189"/>
      <c r="BB463" s="189"/>
      <c r="BC463" s="517"/>
      <c r="BD463" s="189"/>
      <c r="BF463" s="445"/>
    </row>
    <row r="464" spans="1:58" ht="18.75" customHeight="1">
      <c r="A464" s="354">
        <v>4627186342609</v>
      </c>
      <c r="B464" s="100">
        <v>4100</v>
      </c>
      <c r="C464" s="369" t="s">
        <v>2353</v>
      </c>
      <c r="D464" s="833"/>
      <c r="E464" s="396"/>
      <c r="F464" s="248"/>
      <c r="G464" s="190"/>
      <c r="H464" s="190"/>
      <c r="I464" s="399"/>
      <c r="J464" s="315">
        <v>52</v>
      </c>
      <c r="K464" s="104">
        <f t="shared" si="381"/>
        <v>0</v>
      </c>
      <c r="L464" s="413">
        <f t="shared" si="364"/>
        <v>54.6</v>
      </c>
      <c r="M464" s="104">
        <f t="shared" si="379"/>
        <v>0</v>
      </c>
      <c r="N464" s="413">
        <f t="shared" si="366"/>
        <v>57.2</v>
      </c>
      <c r="O464" s="104">
        <f t="shared" si="382"/>
        <v>0</v>
      </c>
      <c r="P464" s="413">
        <f t="shared" si="368"/>
        <v>59.8</v>
      </c>
      <c r="Q464" s="104">
        <f t="shared" si="380"/>
        <v>0</v>
      </c>
      <c r="R464" s="413">
        <f t="shared" si="370"/>
        <v>65</v>
      </c>
      <c r="S464" s="104">
        <f t="shared" si="378"/>
        <v>0</v>
      </c>
      <c r="T464" s="105"/>
      <c r="U464" s="105"/>
      <c r="V464" s="106"/>
      <c r="W464" s="400">
        <v>100</v>
      </c>
      <c r="Y464" s="567"/>
      <c r="Z464" s="189"/>
      <c r="AA464" s="541" t="s">
        <v>2328</v>
      </c>
      <c r="AB464" s="535"/>
      <c r="AC464" s="535"/>
      <c r="AD464" s="713"/>
      <c r="AE464" s="713"/>
      <c r="AF464" s="700"/>
      <c r="AG464" s="700"/>
      <c r="AH464" s="547"/>
      <c r="AI464" s="478"/>
      <c r="AJ464" s="189"/>
      <c r="AK464" s="568"/>
      <c r="AM464" s="671"/>
      <c r="AN464" s="658"/>
      <c r="AO464" s="658"/>
      <c r="AP464" s="655"/>
      <c r="AQ464" s="609"/>
      <c r="AR464" s="656"/>
      <c r="AS464" s="657"/>
      <c r="AU464" s="189"/>
      <c r="AV464" s="189"/>
      <c r="AW464" s="189"/>
      <c r="AX464" s="521"/>
      <c r="AY464" s="507"/>
      <c r="AZ464" s="189"/>
      <c r="BA464" s="189"/>
      <c r="BB464" s="189"/>
      <c r="BC464" s="517"/>
      <c r="BD464" s="189"/>
      <c r="BF464" s="445"/>
    </row>
    <row r="465" spans="1:72" ht="18.75" customHeight="1">
      <c r="A465" s="354">
        <v>4627186342616</v>
      </c>
      <c r="B465" s="100">
        <v>4101</v>
      </c>
      <c r="C465" s="369" t="s">
        <v>2354</v>
      </c>
      <c r="D465" s="833"/>
      <c r="E465" s="396"/>
      <c r="F465" s="248"/>
      <c r="G465" s="190"/>
      <c r="H465" s="190"/>
      <c r="I465" s="399"/>
      <c r="J465" s="315">
        <v>52</v>
      </c>
      <c r="K465" s="104">
        <f t="shared" si="381"/>
        <v>0</v>
      </c>
      <c r="L465" s="413">
        <f t="shared" si="364"/>
        <v>54.6</v>
      </c>
      <c r="M465" s="104">
        <f t="shared" si="379"/>
        <v>0</v>
      </c>
      <c r="N465" s="413">
        <f t="shared" si="366"/>
        <v>57.2</v>
      </c>
      <c r="O465" s="104">
        <f t="shared" si="382"/>
        <v>0</v>
      </c>
      <c r="P465" s="413">
        <f t="shared" si="368"/>
        <v>59.8</v>
      </c>
      <c r="Q465" s="104">
        <f t="shared" si="380"/>
        <v>0</v>
      </c>
      <c r="R465" s="413">
        <f t="shared" si="370"/>
        <v>65</v>
      </c>
      <c r="S465" s="104">
        <f t="shared" si="378"/>
        <v>0</v>
      </c>
      <c r="T465" s="105"/>
      <c r="U465" s="105"/>
      <c r="V465" s="106"/>
      <c r="W465" s="400">
        <v>100</v>
      </c>
      <c r="Y465" s="567"/>
      <c r="Z465" s="189"/>
      <c r="AA465" s="541" t="s">
        <v>2328</v>
      </c>
      <c r="AB465" s="535"/>
      <c r="AC465" s="535"/>
      <c r="AD465" s="713"/>
      <c r="AE465" s="713"/>
      <c r="AF465" s="700"/>
      <c r="AG465" s="700"/>
      <c r="AH465" s="547"/>
      <c r="AI465" s="478"/>
      <c r="AJ465" s="189"/>
      <c r="AK465" s="568"/>
      <c r="AM465" s="671"/>
      <c r="AN465" s="658"/>
      <c r="AO465" s="658"/>
      <c r="AP465" s="655"/>
      <c r="AQ465" s="609"/>
      <c r="AR465" s="656"/>
      <c r="AS465" s="657"/>
      <c r="AU465" s="189"/>
      <c r="AV465" s="189"/>
      <c r="AW465" s="189"/>
      <c r="AX465" s="521"/>
      <c r="AY465" s="507"/>
      <c r="AZ465" s="189"/>
      <c r="BA465" s="189"/>
      <c r="BB465" s="189"/>
      <c r="BC465" s="517"/>
      <c r="BD465" s="189"/>
      <c r="BF465" s="445"/>
    </row>
    <row r="466" spans="1:72" ht="18.75" customHeight="1">
      <c r="A466" s="354">
        <v>4627186342623</v>
      </c>
      <c r="B466" s="100">
        <v>4102</v>
      </c>
      <c r="C466" s="369" t="s">
        <v>2355</v>
      </c>
      <c r="D466" s="833"/>
      <c r="E466" s="396"/>
      <c r="F466" s="248"/>
      <c r="G466" s="190"/>
      <c r="H466" s="190"/>
      <c r="I466" s="399"/>
      <c r="J466" s="315">
        <v>52</v>
      </c>
      <c r="K466" s="104">
        <f t="shared" si="381"/>
        <v>0</v>
      </c>
      <c r="L466" s="413">
        <f t="shared" si="364"/>
        <v>54.6</v>
      </c>
      <c r="M466" s="104">
        <f t="shared" si="379"/>
        <v>0</v>
      </c>
      <c r="N466" s="413">
        <f t="shared" si="366"/>
        <v>57.2</v>
      </c>
      <c r="O466" s="104">
        <f t="shared" si="382"/>
        <v>0</v>
      </c>
      <c r="P466" s="413">
        <f t="shared" si="368"/>
        <v>59.8</v>
      </c>
      <c r="Q466" s="104">
        <f t="shared" si="380"/>
        <v>0</v>
      </c>
      <c r="R466" s="413">
        <f t="shared" si="370"/>
        <v>65</v>
      </c>
      <c r="S466" s="104">
        <f t="shared" si="378"/>
        <v>0</v>
      </c>
      <c r="T466" s="105"/>
      <c r="U466" s="105"/>
      <c r="V466" s="106"/>
      <c r="W466" s="400">
        <v>100</v>
      </c>
      <c r="Y466" s="567"/>
      <c r="Z466" s="189"/>
      <c r="AA466" s="541" t="s">
        <v>2328</v>
      </c>
      <c r="AB466" s="535"/>
      <c r="AC466" s="535"/>
      <c r="AD466" s="713"/>
      <c r="AE466" s="713"/>
      <c r="AF466" s="700"/>
      <c r="AG466" s="700"/>
      <c r="AH466" s="547"/>
      <c r="AI466" s="478"/>
      <c r="AJ466" s="189"/>
      <c r="AK466" s="568"/>
      <c r="AM466" s="671"/>
      <c r="AN466" s="658"/>
      <c r="AO466" s="658"/>
      <c r="AP466" s="655"/>
      <c r="AQ466" s="609"/>
      <c r="AR466" s="656"/>
      <c r="AS466" s="657"/>
      <c r="AU466" s="189"/>
      <c r="AV466" s="189"/>
      <c r="AW466" s="189"/>
      <c r="AX466" s="521"/>
      <c r="AY466" s="507"/>
      <c r="AZ466" s="189"/>
      <c r="BA466" s="189"/>
      <c r="BB466" s="189"/>
      <c r="BC466" s="517"/>
      <c r="BD466" s="189"/>
      <c r="BF466" s="445"/>
    </row>
    <row r="467" spans="1:72" ht="18.75" customHeight="1">
      <c r="A467" s="354">
        <v>4627186342630</v>
      </c>
      <c r="B467" s="100">
        <v>4103</v>
      </c>
      <c r="C467" s="369" t="s">
        <v>2356</v>
      </c>
      <c r="D467" s="833"/>
      <c r="E467" s="396"/>
      <c r="F467" s="248"/>
      <c r="G467" s="190"/>
      <c r="H467" s="190"/>
      <c r="I467" s="399"/>
      <c r="J467" s="315">
        <v>52</v>
      </c>
      <c r="K467" s="104">
        <f t="shared" si="381"/>
        <v>0</v>
      </c>
      <c r="L467" s="413">
        <f t="shared" si="364"/>
        <v>54.6</v>
      </c>
      <c r="M467" s="104">
        <f t="shared" si="379"/>
        <v>0</v>
      </c>
      <c r="N467" s="413">
        <f t="shared" si="366"/>
        <v>57.2</v>
      </c>
      <c r="O467" s="104">
        <f t="shared" si="382"/>
        <v>0</v>
      </c>
      <c r="P467" s="413">
        <f t="shared" si="368"/>
        <v>59.8</v>
      </c>
      <c r="Q467" s="104">
        <f t="shared" si="380"/>
        <v>0</v>
      </c>
      <c r="R467" s="413">
        <f t="shared" si="370"/>
        <v>65</v>
      </c>
      <c r="S467" s="104">
        <f t="shared" si="378"/>
        <v>0</v>
      </c>
      <c r="T467" s="105"/>
      <c r="U467" s="105"/>
      <c r="V467" s="106"/>
      <c r="W467" s="400">
        <v>100</v>
      </c>
      <c r="Y467" s="567"/>
      <c r="Z467" s="189"/>
      <c r="AA467" s="541" t="s">
        <v>2328</v>
      </c>
      <c r="AB467" s="535"/>
      <c r="AC467" s="535"/>
      <c r="AD467" s="713"/>
      <c r="AE467" s="713"/>
      <c r="AF467" s="700"/>
      <c r="AG467" s="700"/>
      <c r="AH467" s="547"/>
      <c r="AI467" s="478"/>
      <c r="AJ467" s="189"/>
      <c r="AK467" s="568"/>
      <c r="AM467" s="671"/>
      <c r="AN467" s="658"/>
      <c r="AO467" s="658"/>
      <c r="AP467" s="655"/>
      <c r="AQ467" s="609"/>
      <c r="AR467" s="656"/>
      <c r="AS467" s="657"/>
      <c r="AU467" s="189"/>
      <c r="AV467" s="189"/>
      <c r="AW467" s="189"/>
      <c r="AX467" s="521"/>
      <c r="AY467" s="507"/>
      <c r="AZ467" s="189"/>
      <c r="BA467" s="189"/>
      <c r="BB467" s="189"/>
      <c r="BC467" s="517"/>
      <c r="BD467" s="189"/>
      <c r="BF467" s="445"/>
    </row>
    <row r="468" spans="1:72" ht="18.75" customHeight="1">
      <c r="A468" s="354">
        <v>4627186342647</v>
      </c>
      <c r="B468" s="100">
        <v>4104</v>
      </c>
      <c r="C468" s="369" t="s">
        <v>2357</v>
      </c>
      <c r="D468" s="833"/>
      <c r="E468" s="396"/>
      <c r="F468" s="248"/>
      <c r="G468" s="190"/>
      <c r="H468" s="190"/>
      <c r="I468" s="399"/>
      <c r="J468" s="315">
        <v>95</v>
      </c>
      <c r="K468" s="104">
        <f t="shared" si="381"/>
        <v>0</v>
      </c>
      <c r="L468" s="413">
        <f t="shared" si="364"/>
        <v>99.75</v>
      </c>
      <c r="M468" s="104">
        <f t="shared" si="379"/>
        <v>0</v>
      </c>
      <c r="N468" s="413">
        <f t="shared" si="366"/>
        <v>104.5</v>
      </c>
      <c r="O468" s="104">
        <f t="shared" si="382"/>
        <v>0</v>
      </c>
      <c r="P468" s="413">
        <f t="shared" si="368"/>
        <v>109.25</v>
      </c>
      <c r="Q468" s="104">
        <f t="shared" si="380"/>
        <v>0</v>
      </c>
      <c r="R468" s="413">
        <f t="shared" si="370"/>
        <v>118.75</v>
      </c>
      <c r="S468" s="104">
        <f t="shared" si="378"/>
        <v>0</v>
      </c>
      <c r="T468" s="105"/>
      <c r="U468" s="105"/>
      <c r="V468" s="106"/>
      <c r="W468" s="400">
        <v>180</v>
      </c>
      <c r="Y468" s="567"/>
      <c r="Z468" s="189"/>
      <c r="AA468" s="541" t="s">
        <v>2328</v>
      </c>
      <c r="AB468" s="535"/>
      <c r="AC468" s="535"/>
      <c r="AD468" s="713"/>
      <c r="AE468" s="713"/>
      <c r="AF468" s="700"/>
      <c r="AG468" s="700"/>
      <c r="AH468" s="547"/>
      <c r="AI468" s="478"/>
      <c r="AJ468" s="189"/>
      <c r="AK468" s="568"/>
      <c r="AM468" s="671"/>
      <c r="AN468" s="658"/>
      <c r="AO468" s="658"/>
      <c r="AP468" s="655"/>
      <c r="AQ468" s="609"/>
      <c r="AR468" s="656"/>
      <c r="AS468" s="657"/>
      <c r="AU468" s="189"/>
      <c r="AV468" s="189"/>
      <c r="AW468" s="189"/>
      <c r="AX468" s="521"/>
      <c r="AY468" s="507"/>
      <c r="AZ468" s="189"/>
      <c r="BA468" s="189"/>
      <c r="BB468" s="189"/>
      <c r="BC468" s="517"/>
      <c r="BD468" s="189"/>
      <c r="BF468" s="445"/>
    </row>
    <row r="469" spans="1:72" ht="18.75" customHeight="1">
      <c r="A469" s="354">
        <v>4627186342654</v>
      </c>
      <c r="B469" s="100">
        <v>4105</v>
      </c>
      <c r="C469" s="369" t="s">
        <v>2358</v>
      </c>
      <c r="D469" s="833"/>
      <c r="E469" s="396"/>
      <c r="F469" s="248"/>
      <c r="G469" s="190"/>
      <c r="H469" s="190"/>
      <c r="I469" s="399"/>
      <c r="J469" s="315">
        <v>95</v>
      </c>
      <c r="K469" s="104">
        <f t="shared" si="381"/>
        <v>0</v>
      </c>
      <c r="L469" s="413">
        <f t="shared" si="364"/>
        <v>99.75</v>
      </c>
      <c r="M469" s="104">
        <f t="shared" si="379"/>
        <v>0</v>
      </c>
      <c r="N469" s="413">
        <f t="shared" si="366"/>
        <v>104.5</v>
      </c>
      <c r="O469" s="104">
        <f t="shared" si="382"/>
        <v>0</v>
      </c>
      <c r="P469" s="413">
        <f t="shared" si="368"/>
        <v>109.25</v>
      </c>
      <c r="Q469" s="104">
        <f t="shared" si="380"/>
        <v>0</v>
      </c>
      <c r="R469" s="413">
        <f t="shared" si="370"/>
        <v>118.75</v>
      </c>
      <c r="S469" s="104">
        <f t="shared" si="378"/>
        <v>0</v>
      </c>
      <c r="T469" s="105"/>
      <c r="U469" s="105"/>
      <c r="V469" s="106"/>
      <c r="W469" s="400">
        <v>180</v>
      </c>
      <c r="Y469" s="567"/>
      <c r="Z469" s="189"/>
      <c r="AA469" s="541" t="s">
        <v>2328</v>
      </c>
      <c r="AB469" s="535"/>
      <c r="AC469" s="535"/>
      <c r="AD469" s="713"/>
      <c r="AE469" s="713"/>
      <c r="AF469" s="700"/>
      <c r="AG469" s="700"/>
      <c r="AH469" s="547"/>
      <c r="AI469" s="478"/>
      <c r="AJ469" s="189"/>
      <c r="AK469" s="568"/>
      <c r="AM469" s="671"/>
      <c r="AN469" s="658"/>
      <c r="AO469" s="658"/>
      <c r="AP469" s="655"/>
      <c r="AQ469" s="609"/>
      <c r="AR469" s="656"/>
      <c r="AS469" s="657"/>
      <c r="AU469" s="189"/>
      <c r="AV469" s="189"/>
      <c r="AW469" s="189"/>
      <c r="AX469" s="521"/>
      <c r="AY469" s="507"/>
      <c r="AZ469" s="189"/>
      <c r="BA469" s="189"/>
      <c r="BB469" s="189"/>
      <c r="BC469" s="517"/>
      <c r="BD469" s="189"/>
      <c r="BF469" s="445"/>
    </row>
    <row r="470" spans="1:72" ht="20.25" customHeight="1">
      <c r="A470" s="485" t="s">
        <v>156</v>
      </c>
      <c r="B470" s="333"/>
      <c r="C470" s="419" t="s">
        <v>2359</v>
      </c>
      <c r="D470" s="840"/>
      <c r="E470" s="270"/>
      <c r="F470" s="491"/>
      <c r="G470" s="360"/>
      <c r="H470" s="360"/>
      <c r="I470" s="360"/>
      <c r="J470" s="420"/>
      <c r="K470" s="488">
        <f>K471+K472+K473+K475+K476+K477+K479+K480+K481+K482+K483+K484+K485+K486+K487+K488+K489+K490+K491+K492+K493+K494+K495+K496+K497+K498+K499+K500+K501+K502+K503+K504+K505+K506+K507+K509+K510+K511+K512+K513+K514+K515+K516+K517+K518+K519+K520+K521+K522+K523+K524+K474+K478+K508</f>
        <v>0</v>
      </c>
      <c r="L470" s="489"/>
      <c r="M470" s="488">
        <f>SUM(M471:M524)</f>
        <v>0</v>
      </c>
      <c r="N470" s="489"/>
      <c r="O470" s="488">
        <f>SUM(O472:O524)</f>
        <v>0</v>
      </c>
      <c r="P470" s="489"/>
      <c r="Q470" s="488">
        <f>SUM(Q472:Q524)</f>
        <v>0</v>
      </c>
      <c r="R470" s="489"/>
      <c r="S470" s="488">
        <f>SUM(S472:S524)</f>
        <v>0</v>
      </c>
      <c r="T470" s="313"/>
      <c r="U470" s="313">
        <f>SUM(U510:U533)</f>
        <v>0</v>
      </c>
      <c r="V470" s="293"/>
      <c r="W470" s="293"/>
      <c r="Y470" s="562"/>
      <c r="Z470" s="293"/>
      <c r="AA470" s="772"/>
      <c r="AB470" s="543"/>
      <c r="AC470" s="543"/>
      <c r="AD470" s="716"/>
      <c r="AE470" s="716"/>
      <c r="AF470" s="701"/>
      <c r="AG470" s="701"/>
      <c r="AH470" s="546"/>
      <c r="AI470" s="675"/>
      <c r="AJ470" s="293"/>
      <c r="AK470" s="563"/>
      <c r="AL470" s="554"/>
      <c r="AM470" s="562"/>
      <c r="AN470" s="293"/>
      <c r="AO470" s="293"/>
      <c r="AP470" s="293"/>
      <c r="AQ470" s="293"/>
      <c r="AR470" s="293"/>
      <c r="AS470" s="563"/>
      <c r="AU470" s="293"/>
      <c r="AV470" s="293"/>
      <c r="AW470" s="293"/>
      <c r="AX470" s="293"/>
      <c r="AY470" s="293"/>
      <c r="AZ470" s="293"/>
      <c r="BA470" s="293"/>
      <c r="BB470" s="293"/>
      <c r="BC470" s="293"/>
      <c r="BD470" s="293"/>
      <c r="BF470" s="445"/>
    </row>
    <row r="471" spans="1:72" s="474" customFormat="1" ht="18" customHeight="1">
      <c r="A471" s="468">
        <v>4627186340056</v>
      </c>
      <c r="B471" s="988">
        <v>3393</v>
      </c>
      <c r="C471" s="469" t="s">
        <v>2360</v>
      </c>
      <c r="D471" s="834"/>
      <c r="E471" s="287" t="s">
        <v>2361</v>
      </c>
      <c r="F471" s="415"/>
      <c r="G471" s="989"/>
      <c r="H471" s="989"/>
      <c r="I471" s="989"/>
      <c r="J471" s="421">
        <v>50</v>
      </c>
      <c r="K471" s="874">
        <f>J471*F471</f>
        <v>0</v>
      </c>
      <c r="L471" s="421">
        <f>J471+J471*5%</f>
        <v>52.5</v>
      </c>
      <c r="M471" s="874">
        <f t="shared" ref="M471:M505" si="383">L471*F471</f>
        <v>0</v>
      </c>
      <c r="N471" s="421">
        <f>J471+J471*10%</f>
        <v>55</v>
      </c>
      <c r="O471" s="874">
        <f t="shared" ref="O471:O505" si="384">N471*F471</f>
        <v>0</v>
      </c>
      <c r="P471" s="421">
        <f>J471+J471*15%</f>
        <v>57.5</v>
      </c>
      <c r="Q471" s="874">
        <f t="shared" ref="Q471:Q505" si="385">P471*F471</f>
        <v>0</v>
      </c>
      <c r="R471" s="421">
        <f>J471+J471*25%</f>
        <v>62.5</v>
      </c>
      <c r="S471" s="874">
        <f t="shared" ref="S471:S505" si="386">R471*F471</f>
        <v>0</v>
      </c>
      <c r="T471" s="876">
        <v>6</v>
      </c>
      <c r="U471" s="876">
        <v>0</v>
      </c>
      <c r="V471" s="877"/>
      <c r="W471" s="968"/>
      <c r="X471" s="285"/>
      <c r="Y471" s="795">
        <v>9</v>
      </c>
      <c r="Z471" s="221"/>
      <c r="AA471" s="969" t="s">
        <v>2328</v>
      </c>
      <c r="AB471" s="990"/>
      <c r="AC471" s="990"/>
      <c r="AD471" s="991"/>
      <c r="AE471" s="991"/>
      <c r="AF471" s="973"/>
      <c r="AG471" s="973"/>
      <c r="AH471" s="798"/>
      <c r="AI471" s="985"/>
      <c r="AJ471" s="221"/>
      <c r="AK471" s="976"/>
      <c r="AL471" s="551"/>
      <c r="AM471" s="992"/>
      <c r="AN471" s="126"/>
      <c r="AO471" s="126"/>
      <c r="AP471" s="993"/>
      <c r="AQ471" s="979"/>
      <c r="AR471" s="994"/>
      <c r="AS471" s="995"/>
      <c r="AT471" s="285"/>
      <c r="AU471" s="189"/>
      <c r="AV471" s="189"/>
      <c r="AW471" s="189"/>
      <c r="AX471" s="189"/>
      <c r="AY471" s="189"/>
      <c r="AZ471" s="189"/>
      <c r="BA471" s="189"/>
      <c r="BB471" s="189"/>
      <c r="BC471" s="517"/>
      <c r="BD471" s="189"/>
      <c r="BE471" s="4"/>
      <c r="BF471" s="80"/>
      <c r="BG471" s="4"/>
      <c r="BH471" s="4"/>
      <c r="BI471" s="4"/>
      <c r="BJ471" s="4"/>
      <c r="BK471" s="4"/>
      <c r="BL471" s="4"/>
      <c r="BM471" s="4"/>
      <c r="BN471" s="4"/>
      <c r="BO471" s="285"/>
      <c r="BP471" s="285"/>
      <c r="BQ471" s="285"/>
      <c r="BR471" s="285"/>
      <c r="BS471" s="285"/>
      <c r="BT471" s="285"/>
    </row>
    <row r="472" spans="1:72" s="474" customFormat="1" ht="18" customHeight="1">
      <c r="A472" s="468">
        <v>4627186343934</v>
      </c>
      <c r="B472" s="375">
        <v>4414</v>
      </c>
      <c r="C472" s="469" t="s">
        <v>2362</v>
      </c>
      <c r="D472" s="834"/>
      <c r="E472" s="422" t="s">
        <v>2361</v>
      </c>
      <c r="F472" s="415"/>
      <c r="G472" s="471"/>
      <c r="H472" s="471"/>
      <c r="I472" s="471"/>
      <c r="J472" s="421">
        <v>25</v>
      </c>
      <c r="K472" s="418">
        <f>J472*F472</f>
        <v>0</v>
      </c>
      <c r="L472" s="421">
        <f t="shared" ref="L472:L505" si="387">J472+J472*5%</f>
        <v>26.25</v>
      </c>
      <c r="M472" s="418">
        <f t="shared" si="383"/>
        <v>0</v>
      </c>
      <c r="N472" s="421">
        <f t="shared" ref="N472:N505" si="388">J472+J472*10%</f>
        <v>27.5</v>
      </c>
      <c r="O472" s="418">
        <f t="shared" si="384"/>
        <v>0</v>
      </c>
      <c r="P472" s="421">
        <f t="shared" ref="P472:P505" si="389">J472+J472*15%</f>
        <v>28.75</v>
      </c>
      <c r="Q472" s="418">
        <f t="shared" si="385"/>
        <v>0</v>
      </c>
      <c r="R472" s="421">
        <f t="shared" ref="R472:R505" si="390">J472+J472*25%</f>
        <v>31.25</v>
      </c>
      <c r="S472" s="472">
        <f t="shared" si="386"/>
        <v>0</v>
      </c>
      <c r="T472" s="876">
        <v>6</v>
      </c>
      <c r="U472" s="876">
        <f t="shared" ref="U472:U505" si="391">T472*F472</f>
        <v>0</v>
      </c>
      <c r="V472" s="473"/>
      <c r="W472" s="968"/>
      <c r="X472" s="285"/>
      <c r="Y472" s="795">
        <v>9</v>
      </c>
      <c r="Z472" s="221"/>
      <c r="AA472" s="969" t="s">
        <v>2328</v>
      </c>
      <c r="AB472" s="990"/>
      <c r="AC472" s="990"/>
      <c r="AD472" s="991"/>
      <c r="AE472" s="991"/>
      <c r="AF472" s="973"/>
      <c r="AG472" s="973"/>
      <c r="AH472" s="798"/>
      <c r="AI472" s="985"/>
      <c r="AJ472" s="221"/>
      <c r="AK472" s="976"/>
      <c r="AL472" s="551"/>
      <c r="AM472" s="992"/>
      <c r="AN472" s="126"/>
      <c r="AO472" s="126"/>
      <c r="AP472" s="993"/>
      <c r="AQ472" s="979"/>
      <c r="AR472" s="994"/>
      <c r="AS472" s="995"/>
      <c r="AT472" s="285"/>
      <c r="AU472" s="189"/>
      <c r="AV472" s="189"/>
      <c r="AW472" s="189"/>
      <c r="AX472" s="521"/>
      <c r="AY472" s="507"/>
      <c r="AZ472" s="189"/>
      <c r="BA472" s="189"/>
      <c r="BB472" s="189"/>
      <c r="BC472" s="517"/>
      <c r="BD472" s="189"/>
      <c r="BE472" s="4"/>
      <c r="BF472" s="532"/>
      <c r="BG472" s="4"/>
      <c r="BH472" s="4"/>
      <c r="BI472" s="4"/>
      <c r="BJ472" s="4"/>
      <c r="BK472" s="4"/>
      <c r="BL472" s="4"/>
      <c r="BM472" s="4"/>
      <c r="BN472" s="4"/>
      <c r="BO472" s="285"/>
      <c r="BP472" s="285"/>
      <c r="BQ472" s="285"/>
      <c r="BR472" s="285"/>
      <c r="BS472" s="285"/>
      <c r="BT472" s="285"/>
    </row>
    <row r="473" spans="1:72" s="474" customFormat="1" ht="18" customHeight="1">
      <c r="A473" s="468">
        <v>4627186343941</v>
      </c>
      <c r="B473" s="375">
        <v>4415</v>
      </c>
      <c r="C473" s="469" t="s">
        <v>2363</v>
      </c>
      <c r="D473" s="834"/>
      <c r="E473" s="422" t="s">
        <v>2361</v>
      </c>
      <c r="F473" s="415"/>
      <c r="G473" s="471"/>
      <c r="H473" s="471"/>
      <c r="I473" s="471"/>
      <c r="J473" s="421">
        <v>25</v>
      </c>
      <c r="K473" s="418">
        <f>J473*F473</f>
        <v>0</v>
      </c>
      <c r="L473" s="421">
        <f t="shared" si="387"/>
        <v>26.25</v>
      </c>
      <c r="M473" s="418">
        <f t="shared" si="383"/>
        <v>0</v>
      </c>
      <c r="N473" s="421">
        <f t="shared" si="388"/>
        <v>27.5</v>
      </c>
      <c r="O473" s="418">
        <f t="shared" si="384"/>
        <v>0</v>
      </c>
      <c r="P473" s="421">
        <f t="shared" si="389"/>
        <v>28.75</v>
      </c>
      <c r="Q473" s="418">
        <f t="shared" si="385"/>
        <v>0</v>
      </c>
      <c r="R473" s="421">
        <f t="shared" si="390"/>
        <v>31.25</v>
      </c>
      <c r="S473" s="472">
        <f t="shared" si="386"/>
        <v>0</v>
      </c>
      <c r="T473" s="876">
        <v>6</v>
      </c>
      <c r="U473" s="876">
        <f t="shared" si="391"/>
        <v>0</v>
      </c>
      <c r="V473" s="473"/>
      <c r="W473" s="968"/>
      <c r="X473" s="285"/>
      <c r="Y473" s="795">
        <v>9</v>
      </c>
      <c r="Z473" s="221"/>
      <c r="AA473" s="969" t="s">
        <v>2328</v>
      </c>
      <c r="AB473" s="990"/>
      <c r="AC473" s="990"/>
      <c r="AD473" s="991"/>
      <c r="AE473" s="991"/>
      <c r="AF473" s="973"/>
      <c r="AG473" s="973"/>
      <c r="AH473" s="798"/>
      <c r="AI473" s="985"/>
      <c r="AJ473" s="221"/>
      <c r="AK473" s="976"/>
      <c r="AL473" s="551"/>
      <c r="AM473" s="992"/>
      <c r="AN473" s="126"/>
      <c r="AO473" s="126"/>
      <c r="AP473" s="993"/>
      <c r="AQ473" s="979"/>
      <c r="AR473" s="994"/>
      <c r="AS473" s="995"/>
      <c r="AT473" s="285"/>
      <c r="AU473" s="189"/>
      <c r="AV473" s="189"/>
      <c r="AW473" s="189"/>
      <c r="AX473" s="521"/>
      <c r="AY473" s="507"/>
      <c r="AZ473" s="189"/>
      <c r="BA473" s="189"/>
      <c r="BB473" s="189"/>
      <c r="BC473" s="517"/>
      <c r="BD473" s="189"/>
      <c r="BE473" s="4"/>
      <c r="BF473" s="532"/>
      <c r="BG473" s="4"/>
      <c r="BH473" s="4"/>
      <c r="BI473" s="4"/>
      <c r="BJ473" s="4"/>
      <c r="BK473" s="4"/>
      <c r="BL473" s="4"/>
      <c r="BM473" s="4"/>
      <c r="BN473" s="4"/>
      <c r="BO473" s="285"/>
      <c r="BP473" s="285"/>
      <c r="BQ473" s="285"/>
      <c r="BR473" s="285"/>
      <c r="BS473" s="285"/>
      <c r="BT473" s="285"/>
    </row>
    <row r="474" spans="1:72" s="474" customFormat="1" ht="27" customHeight="1">
      <c r="A474" s="468">
        <v>4627186344269</v>
      </c>
      <c r="B474" s="375">
        <v>4431</v>
      </c>
      <c r="C474" s="469" t="s">
        <v>2364</v>
      </c>
      <c r="D474" s="834"/>
      <c r="E474" s="422"/>
      <c r="F474" s="415"/>
      <c r="G474" s="471"/>
      <c r="H474" s="471"/>
      <c r="I474" s="471"/>
      <c r="J474" s="421">
        <v>50</v>
      </c>
      <c r="K474" s="874">
        <f>J474*F474</f>
        <v>0</v>
      </c>
      <c r="L474" s="421">
        <f>J474+J474*5%</f>
        <v>52.5</v>
      </c>
      <c r="M474" s="874">
        <f t="shared" ref="M474" si="392">L474*F474</f>
        <v>0</v>
      </c>
      <c r="N474" s="421">
        <f>J474+J474*10%</f>
        <v>55</v>
      </c>
      <c r="O474" s="874">
        <f t="shared" ref="O474" si="393">N474*F474</f>
        <v>0</v>
      </c>
      <c r="P474" s="421">
        <f>J474+J474*15%</f>
        <v>57.5</v>
      </c>
      <c r="Q474" s="874">
        <f t="shared" ref="Q474" si="394">P474*F474</f>
        <v>0</v>
      </c>
      <c r="R474" s="421">
        <f>J474+J474*25%</f>
        <v>62.5</v>
      </c>
      <c r="S474" s="874">
        <f t="shared" ref="S474" si="395">R474*F474</f>
        <v>0</v>
      </c>
      <c r="T474" s="876">
        <v>3</v>
      </c>
      <c r="U474" s="876">
        <v>0</v>
      </c>
      <c r="V474" s="473"/>
      <c r="W474" s="968"/>
      <c r="X474" s="285"/>
      <c r="Y474" s="795"/>
      <c r="Z474" s="221"/>
      <c r="AA474" s="969"/>
      <c r="AB474" s="990"/>
      <c r="AC474" s="990"/>
      <c r="AD474" s="991"/>
      <c r="AE474" s="991"/>
      <c r="AF474" s="973"/>
      <c r="AG474" s="973"/>
      <c r="AH474" s="798"/>
      <c r="AI474" s="985"/>
      <c r="AJ474" s="221"/>
      <c r="AK474" s="976"/>
      <c r="AL474" s="551"/>
      <c r="AM474" s="992"/>
      <c r="AN474" s="126"/>
      <c r="AO474" s="126"/>
      <c r="AP474" s="993"/>
      <c r="AQ474" s="979"/>
      <c r="AR474" s="994"/>
      <c r="AS474" s="995"/>
      <c r="AT474" s="285"/>
      <c r="AU474" s="189"/>
      <c r="AV474" s="189"/>
      <c r="AW474" s="189"/>
      <c r="AX474" s="521"/>
      <c r="AY474" s="507"/>
      <c r="AZ474" s="189"/>
      <c r="BA474" s="189"/>
      <c r="BB474" s="189"/>
      <c r="BC474" s="517"/>
      <c r="BD474" s="189"/>
      <c r="BE474" s="4"/>
      <c r="BF474" s="532"/>
      <c r="BG474" s="4"/>
      <c r="BH474" s="4"/>
      <c r="BI474" s="4"/>
      <c r="BJ474" s="4"/>
      <c r="BK474" s="4"/>
      <c r="BL474" s="4"/>
      <c r="BM474" s="4"/>
      <c r="BN474" s="4"/>
      <c r="BO474" s="285"/>
      <c r="BP474" s="285"/>
      <c r="BQ474" s="285"/>
      <c r="BR474" s="285"/>
      <c r="BS474" s="285"/>
      <c r="BT474" s="285"/>
    </row>
    <row r="475" spans="1:72" s="474" customFormat="1" ht="24.75" customHeight="1">
      <c r="A475" s="468">
        <v>4627101825934</v>
      </c>
      <c r="B475" s="375">
        <v>2420</v>
      </c>
      <c r="C475" s="469" t="s">
        <v>2365</v>
      </c>
      <c r="D475" s="834"/>
      <c r="E475" s="422" t="s">
        <v>2366</v>
      </c>
      <c r="F475" s="415"/>
      <c r="G475" s="471"/>
      <c r="H475" s="471"/>
      <c r="I475" s="471"/>
      <c r="J475" s="421">
        <v>65</v>
      </c>
      <c r="K475" s="418">
        <f t="shared" ref="K475:K505" si="396">J475*F475</f>
        <v>0</v>
      </c>
      <c r="L475" s="421">
        <f t="shared" si="387"/>
        <v>68.25</v>
      </c>
      <c r="M475" s="418">
        <f t="shared" si="383"/>
        <v>0</v>
      </c>
      <c r="N475" s="421">
        <f t="shared" si="388"/>
        <v>71.5</v>
      </c>
      <c r="O475" s="418">
        <f t="shared" si="384"/>
        <v>0</v>
      </c>
      <c r="P475" s="421">
        <f t="shared" si="389"/>
        <v>74.75</v>
      </c>
      <c r="Q475" s="418">
        <f t="shared" si="385"/>
        <v>0</v>
      </c>
      <c r="R475" s="421">
        <f t="shared" si="390"/>
        <v>81.25</v>
      </c>
      <c r="S475" s="472">
        <f t="shared" si="386"/>
        <v>0</v>
      </c>
      <c r="T475" s="876">
        <v>3</v>
      </c>
      <c r="U475" s="876">
        <f t="shared" si="391"/>
        <v>0</v>
      </c>
      <c r="V475" s="473"/>
      <c r="W475" s="968"/>
      <c r="X475" s="285"/>
      <c r="Y475" s="795">
        <v>9</v>
      </c>
      <c r="Z475" s="221"/>
      <c r="AA475" s="969" t="s">
        <v>2328</v>
      </c>
      <c r="AB475" s="990"/>
      <c r="AC475" s="990"/>
      <c r="AD475" s="991"/>
      <c r="AE475" s="991"/>
      <c r="AF475" s="973"/>
      <c r="AG475" s="973"/>
      <c r="AH475" s="798"/>
      <c r="AI475" s="985"/>
      <c r="AJ475" s="221"/>
      <c r="AK475" s="976"/>
      <c r="AL475" s="551"/>
      <c r="AM475" s="992"/>
      <c r="AN475" s="126"/>
      <c r="AO475" s="126"/>
      <c r="AP475" s="993"/>
      <c r="AQ475" s="979"/>
      <c r="AR475" s="994"/>
      <c r="AS475" s="995"/>
      <c r="AT475" s="285"/>
      <c r="AU475" s="189"/>
      <c r="AV475" s="189"/>
      <c r="AW475" s="189"/>
      <c r="AX475" s="521"/>
      <c r="AY475" s="507"/>
      <c r="AZ475" s="189"/>
      <c r="BA475" s="189"/>
      <c r="BB475" s="189"/>
      <c r="BC475" s="517"/>
      <c r="BD475" s="189"/>
      <c r="BE475" s="4"/>
      <c r="BF475" s="532"/>
      <c r="BG475" s="4"/>
      <c r="BH475" s="4"/>
      <c r="BI475" s="4"/>
      <c r="BJ475" s="4"/>
      <c r="BK475" s="4"/>
      <c r="BL475" s="4"/>
      <c r="BM475" s="4"/>
      <c r="BN475" s="4"/>
      <c r="BO475" s="285"/>
      <c r="BP475" s="285"/>
      <c r="BQ475" s="285"/>
      <c r="BR475" s="285"/>
      <c r="BS475" s="285"/>
      <c r="BT475" s="285"/>
    </row>
    <row r="476" spans="1:72" s="474" customFormat="1" ht="18" customHeight="1">
      <c r="A476" s="468">
        <v>4627101825910</v>
      </c>
      <c r="B476" s="375">
        <v>2421</v>
      </c>
      <c r="C476" s="469" t="s">
        <v>2367</v>
      </c>
      <c r="D476" s="834"/>
      <c r="E476" s="422" t="s">
        <v>2366</v>
      </c>
      <c r="F476" s="415"/>
      <c r="G476" s="471"/>
      <c r="H476" s="471"/>
      <c r="I476" s="471"/>
      <c r="J476" s="421">
        <v>70</v>
      </c>
      <c r="K476" s="418">
        <f t="shared" si="396"/>
        <v>0</v>
      </c>
      <c r="L476" s="421">
        <f t="shared" si="387"/>
        <v>73.5</v>
      </c>
      <c r="M476" s="418">
        <f t="shared" si="383"/>
        <v>0</v>
      </c>
      <c r="N476" s="421">
        <f t="shared" si="388"/>
        <v>77</v>
      </c>
      <c r="O476" s="418">
        <f t="shared" si="384"/>
        <v>0</v>
      </c>
      <c r="P476" s="421">
        <f t="shared" si="389"/>
        <v>80.5</v>
      </c>
      <c r="Q476" s="418">
        <f t="shared" si="385"/>
        <v>0</v>
      </c>
      <c r="R476" s="421">
        <f t="shared" si="390"/>
        <v>87.5</v>
      </c>
      <c r="S476" s="472">
        <f t="shared" si="386"/>
        <v>0</v>
      </c>
      <c r="T476" s="876">
        <v>3</v>
      </c>
      <c r="U476" s="876">
        <f t="shared" si="391"/>
        <v>0</v>
      </c>
      <c r="V476" s="473"/>
      <c r="W476" s="968"/>
      <c r="X476" s="285"/>
      <c r="Y476" s="795">
        <v>9</v>
      </c>
      <c r="Z476" s="221"/>
      <c r="AA476" s="969" t="s">
        <v>2328</v>
      </c>
      <c r="AB476" s="990"/>
      <c r="AC476" s="990"/>
      <c r="AD476" s="991"/>
      <c r="AE476" s="991"/>
      <c r="AF476" s="973"/>
      <c r="AG476" s="973"/>
      <c r="AH476" s="798"/>
      <c r="AI476" s="985"/>
      <c r="AJ476" s="221"/>
      <c r="AK476" s="976"/>
      <c r="AL476" s="551"/>
      <c r="AM476" s="992"/>
      <c r="AN476" s="126"/>
      <c r="AO476" s="126"/>
      <c r="AP476" s="993"/>
      <c r="AQ476" s="979"/>
      <c r="AR476" s="994"/>
      <c r="AS476" s="995"/>
      <c r="AT476" s="285"/>
      <c r="AU476" s="189"/>
      <c r="AV476" s="189"/>
      <c r="AW476" s="189"/>
      <c r="AX476" s="521"/>
      <c r="AY476" s="507"/>
      <c r="AZ476" s="189"/>
      <c r="BA476" s="189"/>
      <c r="BB476" s="189"/>
      <c r="BC476" s="517"/>
      <c r="BD476" s="189"/>
      <c r="BE476" s="4"/>
      <c r="BF476" s="532"/>
      <c r="BG476" s="4"/>
      <c r="BH476" s="4"/>
      <c r="BI476" s="4"/>
      <c r="BJ476" s="4"/>
      <c r="BK476" s="4"/>
      <c r="BL476" s="4"/>
      <c r="BM476" s="4"/>
      <c r="BN476" s="4"/>
      <c r="BO476" s="285"/>
      <c r="BP476" s="285"/>
      <c r="BQ476" s="285"/>
      <c r="BR476" s="285"/>
      <c r="BS476" s="285"/>
      <c r="BT476" s="285"/>
    </row>
    <row r="477" spans="1:72" s="474" customFormat="1" ht="18" customHeight="1">
      <c r="A477" s="468">
        <v>4627101828959</v>
      </c>
      <c r="B477" s="375">
        <v>2870</v>
      </c>
      <c r="C477" s="469" t="s">
        <v>2368</v>
      </c>
      <c r="D477" s="834"/>
      <c r="E477" s="422" t="s">
        <v>2366</v>
      </c>
      <c r="F477" s="415"/>
      <c r="G477" s="471"/>
      <c r="H477" s="471"/>
      <c r="I477" s="471"/>
      <c r="J477" s="421">
        <v>75</v>
      </c>
      <c r="K477" s="472">
        <f t="shared" si="396"/>
        <v>0</v>
      </c>
      <c r="L477" s="421">
        <f t="shared" si="387"/>
        <v>78.75</v>
      </c>
      <c r="M477" s="472">
        <f t="shared" si="383"/>
        <v>0</v>
      </c>
      <c r="N477" s="421">
        <f t="shared" si="388"/>
        <v>82.5</v>
      </c>
      <c r="O477" s="472">
        <f t="shared" si="384"/>
        <v>0</v>
      </c>
      <c r="P477" s="421">
        <f t="shared" si="389"/>
        <v>86.25</v>
      </c>
      <c r="Q477" s="472">
        <f t="shared" si="385"/>
        <v>0</v>
      </c>
      <c r="R477" s="421">
        <f t="shared" si="390"/>
        <v>93.75</v>
      </c>
      <c r="S477" s="472">
        <f t="shared" si="386"/>
        <v>0</v>
      </c>
      <c r="T477" s="876">
        <v>3</v>
      </c>
      <c r="U477" s="876">
        <f t="shared" si="391"/>
        <v>0</v>
      </c>
      <c r="V477" s="473"/>
      <c r="W477" s="968"/>
      <c r="X477" s="285"/>
      <c r="Y477" s="795">
        <v>9</v>
      </c>
      <c r="Z477" s="221"/>
      <c r="AA477" s="969" t="s">
        <v>2328</v>
      </c>
      <c r="AB477" s="990"/>
      <c r="AC477" s="990"/>
      <c r="AD477" s="991"/>
      <c r="AE477" s="991"/>
      <c r="AF477" s="973"/>
      <c r="AG477" s="973"/>
      <c r="AH477" s="798"/>
      <c r="AI477" s="985"/>
      <c r="AJ477" s="221"/>
      <c r="AK477" s="976"/>
      <c r="AL477" s="551"/>
      <c r="AM477" s="992"/>
      <c r="AN477" s="126"/>
      <c r="AO477" s="126"/>
      <c r="AP477" s="993"/>
      <c r="AQ477" s="979"/>
      <c r="AR477" s="994"/>
      <c r="AS477" s="995"/>
      <c r="AT477" s="285"/>
      <c r="AU477" s="189"/>
      <c r="AV477" s="189"/>
      <c r="AW477" s="189"/>
      <c r="AX477" s="521"/>
      <c r="AY477" s="507"/>
      <c r="AZ477" s="189"/>
      <c r="BA477" s="189"/>
      <c r="BB477" s="189"/>
      <c r="BC477" s="517"/>
      <c r="BD477" s="189"/>
      <c r="BE477" s="4"/>
      <c r="BF477" s="532"/>
      <c r="BG477" s="4"/>
      <c r="BH477" s="4"/>
      <c r="BI477" s="4"/>
      <c r="BJ477" s="4"/>
      <c r="BK477" s="4"/>
      <c r="BL477" s="4"/>
      <c r="BM477" s="4"/>
      <c r="BN477" s="4"/>
      <c r="BO477" s="285"/>
      <c r="BP477" s="285"/>
      <c r="BQ477" s="285"/>
      <c r="BR477" s="285"/>
      <c r="BS477" s="285"/>
      <c r="BT477" s="285"/>
    </row>
    <row r="478" spans="1:72" s="474" customFormat="1" ht="27.75" customHeight="1">
      <c r="A478" s="468">
        <v>4627186344252</v>
      </c>
      <c r="B478" s="375">
        <v>4430</v>
      </c>
      <c r="C478" s="469" t="s">
        <v>2369</v>
      </c>
      <c r="D478" s="834"/>
      <c r="E478" s="422"/>
      <c r="F478" s="415"/>
      <c r="G478" s="471"/>
      <c r="H478" s="471"/>
      <c r="I478" s="471"/>
      <c r="J478" s="421">
        <v>75</v>
      </c>
      <c r="K478" s="472">
        <f t="shared" si="396"/>
        <v>0</v>
      </c>
      <c r="L478" s="421">
        <f t="shared" si="387"/>
        <v>78.75</v>
      </c>
      <c r="M478" s="472">
        <f t="shared" si="383"/>
        <v>0</v>
      </c>
      <c r="N478" s="421">
        <f t="shared" si="388"/>
        <v>82.5</v>
      </c>
      <c r="O478" s="472">
        <f t="shared" si="384"/>
        <v>0</v>
      </c>
      <c r="P478" s="421">
        <f t="shared" si="389"/>
        <v>86.25</v>
      </c>
      <c r="Q478" s="472">
        <f t="shared" si="385"/>
        <v>0</v>
      </c>
      <c r="R478" s="421">
        <f t="shared" si="390"/>
        <v>93.75</v>
      </c>
      <c r="S478" s="472">
        <f t="shared" si="386"/>
        <v>0</v>
      </c>
      <c r="T478" s="876"/>
      <c r="U478" s="876"/>
      <c r="V478" s="473"/>
      <c r="W478" s="968"/>
      <c r="X478" s="285"/>
      <c r="Y478" s="795"/>
      <c r="Z478" s="221"/>
      <c r="AA478" s="969"/>
      <c r="AB478" s="990"/>
      <c r="AC478" s="990"/>
      <c r="AD478" s="991"/>
      <c r="AE478" s="991"/>
      <c r="AF478" s="973"/>
      <c r="AG478" s="973"/>
      <c r="AH478" s="798"/>
      <c r="AI478" s="985"/>
      <c r="AJ478" s="221"/>
      <c r="AK478" s="976"/>
      <c r="AL478" s="551"/>
      <c r="AM478" s="992"/>
      <c r="AN478" s="126"/>
      <c r="AO478" s="126"/>
      <c r="AP478" s="993"/>
      <c r="AQ478" s="979"/>
      <c r="AR478" s="994"/>
      <c r="AS478" s="995"/>
      <c r="AT478" s="285"/>
      <c r="AU478" s="189"/>
      <c r="AV478" s="189"/>
      <c r="AW478" s="189"/>
      <c r="AX478" s="521"/>
      <c r="AY478" s="507"/>
      <c r="AZ478" s="189"/>
      <c r="BA478" s="189"/>
      <c r="BB478" s="189"/>
      <c r="BC478" s="517"/>
      <c r="BD478" s="189"/>
      <c r="BE478" s="4"/>
      <c r="BF478" s="532"/>
      <c r="BG478" s="4"/>
      <c r="BH478" s="4"/>
      <c r="BI478" s="4"/>
      <c r="BJ478" s="4"/>
      <c r="BK478" s="4"/>
      <c r="BL478" s="4"/>
      <c r="BM478" s="4"/>
      <c r="BN478" s="4"/>
      <c r="BO478" s="285"/>
      <c r="BP478" s="285"/>
      <c r="BQ478" s="285"/>
      <c r="BR478" s="285"/>
      <c r="BS478" s="285"/>
      <c r="BT478" s="285"/>
    </row>
    <row r="479" spans="1:72" s="474" customFormat="1" ht="18" customHeight="1">
      <c r="A479" s="468">
        <v>4627186340940</v>
      </c>
      <c r="B479" s="375">
        <v>3635</v>
      </c>
      <c r="C479" s="469" t="s">
        <v>2370</v>
      </c>
      <c r="D479" s="834"/>
      <c r="E479" s="422" t="s">
        <v>2361</v>
      </c>
      <c r="F479" s="415"/>
      <c r="G479" s="471"/>
      <c r="H479" s="471"/>
      <c r="I479" s="471"/>
      <c r="J479" s="421">
        <v>50</v>
      </c>
      <c r="K479" s="472">
        <f t="shared" si="396"/>
        <v>0</v>
      </c>
      <c r="L479" s="421">
        <f t="shared" si="387"/>
        <v>52.5</v>
      </c>
      <c r="M479" s="472">
        <f t="shared" si="383"/>
        <v>0</v>
      </c>
      <c r="N479" s="421">
        <f t="shared" si="388"/>
        <v>55</v>
      </c>
      <c r="O479" s="472">
        <f t="shared" si="384"/>
        <v>0</v>
      </c>
      <c r="P479" s="421">
        <f t="shared" si="389"/>
        <v>57.5</v>
      </c>
      <c r="Q479" s="472">
        <f t="shared" si="385"/>
        <v>0</v>
      </c>
      <c r="R479" s="421">
        <f t="shared" si="390"/>
        <v>62.5</v>
      </c>
      <c r="S479" s="472">
        <f t="shared" si="386"/>
        <v>0</v>
      </c>
      <c r="T479" s="876">
        <v>3</v>
      </c>
      <c r="U479" s="876">
        <f t="shared" si="391"/>
        <v>0</v>
      </c>
      <c r="V479" s="473"/>
      <c r="W479" s="968"/>
      <c r="X479" s="285"/>
      <c r="Y479" s="795">
        <v>9</v>
      </c>
      <c r="Z479" s="221"/>
      <c r="AA479" s="969" t="s">
        <v>2328</v>
      </c>
      <c r="AB479" s="990"/>
      <c r="AC479" s="990"/>
      <c r="AD479" s="991"/>
      <c r="AE479" s="991"/>
      <c r="AF479" s="973"/>
      <c r="AG479" s="973"/>
      <c r="AH479" s="798"/>
      <c r="AI479" s="985"/>
      <c r="AJ479" s="221"/>
      <c r="AK479" s="976"/>
      <c r="AL479" s="551"/>
      <c r="AM479" s="992"/>
      <c r="AN479" s="126"/>
      <c r="AO479" s="126"/>
      <c r="AP479" s="993"/>
      <c r="AQ479" s="979"/>
      <c r="AR479" s="994"/>
      <c r="AS479" s="995"/>
      <c r="AT479" s="285"/>
      <c r="AU479" s="189"/>
      <c r="AV479" s="189"/>
      <c r="AW479" s="189"/>
      <c r="AX479" s="521"/>
      <c r="AY479" s="507"/>
      <c r="AZ479" s="189"/>
      <c r="BA479" s="189"/>
      <c r="BB479" s="189"/>
      <c r="BC479" s="517"/>
      <c r="BD479" s="189"/>
      <c r="BE479" s="4"/>
      <c r="BF479" s="532"/>
      <c r="BG479" s="4"/>
      <c r="BH479" s="4"/>
      <c r="BI479" s="4"/>
      <c r="BJ479" s="4"/>
      <c r="BK479" s="4"/>
      <c r="BL479" s="4"/>
      <c r="BM479" s="4"/>
      <c r="BN479" s="4"/>
      <c r="BO479" s="285"/>
      <c r="BP479" s="285"/>
      <c r="BQ479" s="285"/>
      <c r="BR479" s="285"/>
      <c r="BS479" s="285"/>
      <c r="BT479" s="285"/>
    </row>
    <row r="480" spans="1:72" s="474" customFormat="1" ht="20.25" customHeight="1">
      <c r="A480" s="468">
        <v>4627186343965</v>
      </c>
      <c r="B480" s="375">
        <v>4405</v>
      </c>
      <c r="C480" s="469" t="s">
        <v>2371</v>
      </c>
      <c r="D480" s="834"/>
      <c r="E480" s="422" t="s">
        <v>2361</v>
      </c>
      <c r="F480" s="415"/>
      <c r="G480" s="471"/>
      <c r="H480" s="471"/>
      <c r="I480" s="471"/>
      <c r="J480" s="421">
        <v>15</v>
      </c>
      <c r="K480" s="472">
        <f t="shared" si="396"/>
        <v>0</v>
      </c>
      <c r="L480" s="421">
        <f t="shared" si="387"/>
        <v>15.75</v>
      </c>
      <c r="M480" s="472">
        <f t="shared" si="383"/>
        <v>0</v>
      </c>
      <c r="N480" s="421">
        <f t="shared" si="388"/>
        <v>16.5</v>
      </c>
      <c r="O480" s="472">
        <f t="shared" si="384"/>
        <v>0</v>
      </c>
      <c r="P480" s="421">
        <f t="shared" si="389"/>
        <v>17.25</v>
      </c>
      <c r="Q480" s="472">
        <f t="shared" si="385"/>
        <v>0</v>
      </c>
      <c r="R480" s="421">
        <f t="shared" si="390"/>
        <v>18.75</v>
      </c>
      <c r="S480" s="472">
        <f t="shared" si="386"/>
        <v>0</v>
      </c>
      <c r="T480" s="876">
        <v>3</v>
      </c>
      <c r="U480" s="876">
        <f t="shared" si="391"/>
        <v>0</v>
      </c>
      <c r="V480" s="473"/>
      <c r="W480" s="968"/>
      <c r="X480" s="285"/>
      <c r="Y480" s="795">
        <v>9</v>
      </c>
      <c r="Z480" s="221"/>
      <c r="AA480" s="969" t="s">
        <v>2328</v>
      </c>
      <c r="AB480" s="990"/>
      <c r="AC480" s="990"/>
      <c r="AD480" s="991"/>
      <c r="AE480" s="991"/>
      <c r="AF480" s="973"/>
      <c r="AG480" s="973"/>
      <c r="AH480" s="798"/>
      <c r="AI480" s="985"/>
      <c r="AJ480" s="221"/>
      <c r="AK480" s="976"/>
      <c r="AL480" s="551"/>
      <c r="AM480" s="992"/>
      <c r="AN480" s="126"/>
      <c r="AO480" s="126"/>
      <c r="AP480" s="993"/>
      <c r="AQ480" s="979"/>
      <c r="AR480" s="994"/>
      <c r="AS480" s="995"/>
      <c r="AT480" s="285"/>
      <c r="AU480" s="189"/>
      <c r="AV480" s="189"/>
      <c r="AW480" s="189"/>
      <c r="AX480" s="521"/>
      <c r="AY480" s="507"/>
      <c r="AZ480" s="189"/>
      <c r="BA480" s="189"/>
      <c r="BB480" s="189"/>
      <c r="BC480" s="517"/>
      <c r="BD480" s="189"/>
      <c r="BE480" s="4"/>
      <c r="BF480" s="532"/>
      <c r="BG480" s="4"/>
      <c r="BH480" s="4"/>
      <c r="BI480" s="4"/>
      <c r="BJ480" s="4"/>
      <c r="BK480" s="4"/>
      <c r="BL480" s="4"/>
      <c r="BM480" s="4"/>
      <c r="BN480" s="4"/>
      <c r="BO480" s="285"/>
      <c r="BP480" s="285"/>
      <c r="BQ480" s="285"/>
      <c r="BR480" s="285"/>
      <c r="BS480" s="285"/>
      <c r="BT480" s="285"/>
    </row>
    <row r="481" spans="1:72" s="474" customFormat="1" ht="21.75" customHeight="1">
      <c r="A481" s="468">
        <v>4627186343972</v>
      </c>
      <c r="B481" s="375">
        <v>4421</v>
      </c>
      <c r="C481" s="469" t="s">
        <v>2372</v>
      </c>
      <c r="D481" s="834"/>
      <c r="E481" s="422" t="s">
        <v>2361</v>
      </c>
      <c r="F481" s="415"/>
      <c r="G481" s="471"/>
      <c r="H481" s="471"/>
      <c r="I481" s="471"/>
      <c r="J481" s="421">
        <v>25</v>
      </c>
      <c r="K481" s="418">
        <f t="shared" si="396"/>
        <v>0</v>
      </c>
      <c r="L481" s="421">
        <f t="shared" si="387"/>
        <v>26.25</v>
      </c>
      <c r="M481" s="418">
        <f t="shared" si="383"/>
        <v>0</v>
      </c>
      <c r="N481" s="421">
        <f t="shared" si="388"/>
        <v>27.5</v>
      </c>
      <c r="O481" s="418">
        <f t="shared" si="384"/>
        <v>0</v>
      </c>
      <c r="P481" s="421">
        <f t="shared" si="389"/>
        <v>28.75</v>
      </c>
      <c r="Q481" s="418">
        <f t="shared" si="385"/>
        <v>0</v>
      </c>
      <c r="R481" s="421">
        <f t="shared" si="390"/>
        <v>31.25</v>
      </c>
      <c r="S481" s="472">
        <f t="shared" si="386"/>
        <v>0</v>
      </c>
      <c r="T481" s="876">
        <v>6</v>
      </c>
      <c r="U481" s="876">
        <f t="shared" si="391"/>
        <v>0</v>
      </c>
      <c r="V481" s="473"/>
      <c r="W481" s="968"/>
      <c r="X481" s="285"/>
      <c r="Y481" s="795">
        <v>9</v>
      </c>
      <c r="Z481" s="221"/>
      <c r="AA481" s="969" t="s">
        <v>2328</v>
      </c>
      <c r="AB481" s="990"/>
      <c r="AC481" s="990"/>
      <c r="AD481" s="991"/>
      <c r="AE481" s="991"/>
      <c r="AF481" s="973"/>
      <c r="AG481" s="973"/>
      <c r="AH481" s="798"/>
      <c r="AI481" s="985"/>
      <c r="AJ481" s="221"/>
      <c r="AK481" s="976"/>
      <c r="AL481" s="551"/>
      <c r="AM481" s="992"/>
      <c r="AN481" s="126"/>
      <c r="AO481" s="126"/>
      <c r="AP481" s="993"/>
      <c r="AQ481" s="979"/>
      <c r="AR481" s="994"/>
      <c r="AS481" s="995"/>
      <c r="AT481" s="285"/>
      <c r="AU481" s="189"/>
      <c r="AV481" s="189"/>
      <c r="AW481" s="189"/>
      <c r="AX481" s="521"/>
      <c r="AY481" s="507"/>
      <c r="AZ481" s="189"/>
      <c r="BA481" s="189"/>
      <c r="BB481" s="189"/>
      <c r="BC481" s="517"/>
      <c r="BD481" s="189"/>
      <c r="BE481" s="4"/>
      <c r="BF481" s="532"/>
      <c r="BG481" s="4"/>
      <c r="BH481" s="4"/>
      <c r="BI481" s="4"/>
      <c r="BJ481" s="4"/>
      <c r="BK481" s="4"/>
      <c r="BL481" s="4"/>
      <c r="BM481" s="4"/>
      <c r="BN481" s="4"/>
      <c r="BO481" s="285"/>
      <c r="BP481" s="285"/>
      <c r="BQ481" s="285"/>
      <c r="BR481" s="285"/>
      <c r="BS481" s="285"/>
      <c r="BT481" s="285"/>
    </row>
    <row r="482" spans="1:72" s="474" customFormat="1" ht="21.75" customHeight="1">
      <c r="A482" s="468">
        <v>4627186343989</v>
      </c>
      <c r="B482" s="375">
        <v>4419</v>
      </c>
      <c r="C482" s="469" t="s">
        <v>2373</v>
      </c>
      <c r="D482" s="834"/>
      <c r="E482" s="422" t="s">
        <v>2361</v>
      </c>
      <c r="F482" s="415"/>
      <c r="G482" s="471"/>
      <c r="H482" s="471"/>
      <c r="I482" s="471"/>
      <c r="J482" s="421">
        <v>25</v>
      </c>
      <c r="K482" s="418">
        <f t="shared" si="396"/>
        <v>0</v>
      </c>
      <c r="L482" s="421">
        <f t="shared" si="387"/>
        <v>26.25</v>
      </c>
      <c r="M482" s="418">
        <f t="shared" si="383"/>
        <v>0</v>
      </c>
      <c r="N482" s="421">
        <f t="shared" si="388"/>
        <v>27.5</v>
      </c>
      <c r="O482" s="418">
        <f t="shared" si="384"/>
        <v>0</v>
      </c>
      <c r="P482" s="421">
        <f t="shared" si="389"/>
        <v>28.75</v>
      </c>
      <c r="Q482" s="418">
        <f t="shared" si="385"/>
        <v>0</v>
      </c>
      <c r="R482" s="421">
        <f t="shared" si="390"/>
        <v>31.25</v>
      </c>
      <c r="S482" s="472">
        <f t="shared" si="386"/>
        <v>0</v>
      </c>
      <c r="T482" s="876">
        <v>6</v>
      </c>
      <c r="U482" s="876">
        <f t="shared" si="391"/>
        <v>0</v>
      </c>
      <c r="V482" s="473"/>
      <c r="W482" s="968"/>
      <c r="X482" s="285"/>
      <c r="Y482" s="795">
        <v>9</v>
      </c>
      <c r="Z482" s="221"/>
      <c r="AA482" s="969" t="s">
        <v>2328</v>
      </c>
      <c r="AB482" s="990"/>
      <c r="AC482" s="990"/>
      <c r="AD482" s="991"/>
      <c r="AE482" s="991"/>
      <c r="AF482" s="973"/>
      <c r="AG482" s="973"/>
      <c r="AH482" s="798"/>
      <c r="AI482" s="985"/>
      <c r="AJ482" s="221"/>
      <c r="AK482" s="976"/>
      <c r="AL482" s="551"/>
      <c r="AM482" s="992"/>
      <c r="AN482" s="126"/>
      <c r="AO482" s="126"/>
      <c r="AP482" s="993"/>
      <c r="AQ482" s="979"/>
      <c r="AR482" s="994"/>
      <c r="AS482" s="995"/>
      <c r="AT482" s="285"/>
      <c r="AU482" s="189"/>
      <c r="AV482" s="189"/>
      <c r="AW482" s="189"/>
      <c r="AX482" s="521"/>
      <c r="AY482" s="507"/>
      <c r="AZ482" s="189"/>
      <c r="BA482" s="189"/>
      <c r="BB482" s="189"/>
      <c r="BC482" s="517"/>
      <c r="BD482" s="189"/>
      <c r="BE482" s="4"/>
      <c r="BF482" s="532"/>
      <c r="BG482" s="4"/>
      <c r="BH482" s="4"/>
      <c r="BI482" s="4"/>
      <c r="BJ482" s="4"/>
      <c r="BK482" s="4"/>
      <c r="BL482" s="4"/>
      <c r="BM482" s="4"/>
      <c r="BN482" s="4"/>
      <c r="BO482" s="285"/>
      <c r="BP482" s="285"/>
      <c r="BQ482" s="285"/>
      <c r="BR482" s="285"/>
      <c r="BS482" s="285"/>
      <c r="BT482" s="285"/>
    </row>
    <row r="483" spans="1:72" s="474" customFormat="1" ht="21.75" customHeight="1">
      <c r="A483" s="468">
        <v>4627101826092</v>
      </c>
      <c r="B483" s="375">
        <v>2431</v>
      </c>
      <c r="C483" s="469" t="s">
        <v>2374</v>
      </c>
      <c r="D483" s="834"/>
      <c r="E483" s="422" t="s">
        <v>2366</v>
      </c>
      <c r="F483" s="415"/>
      <c r="G483" s="471"/>
      <c r="H483" s="471"/>
      <c r="I483" s="471"/>
      <c r="J483" s="315">
        <v>40</v>
      </c>
      <c r="K483" s="418">
        <f t="shared" si="396"/>
        <v>0</v>
      </c>
      <c r="L483" s="421">
        <f t="shared" si="387"/>
        <v>42</v>
      </c>
      <c r="M483" s="418">
        <f t="shared" si="383"/>
        <v>0</v>
      </c>
      <c r="N483" s="421">
        <f t="shared" si="388"/>
        <v>44</v>
      </c>
      <c r="O483" s="418">
        <f t="shared" si="384"/>
        <v>0</v>
      </c>
      <c r="P483" s="421">
        <f t="shared" si="389"/>
        <v>46</v>
      </c>
      <c r="Q483" s="418">
        <f t="shared" si="385"/>
        <v>0</v>
      </c>
      <c r="R483" s="421">
        <f t="shared" si="390"/>
        <v>50</v>
      </c>
      <c r="S483" s="472">
        <f t="shared" si="386"/>
        <v>0</v>
      </c>
      <c r="T483" s="876">
        <v>6</v>
      </c>
      <c r="U483" s="876">
        <f t="shared" si="391"/>
        <v>0</v>
      </c>
      <c r="V483" s="473"/>
      <c r="W483" s="968"/>
      <c r="X483" s="285"/>
      <c r="Y483" s="795">
        <v>9</v>
      </c>
      <c r="Z483" s="221"/>
      <c r="AA483" s="969" t="s">
        <v>2328</v>
      </c>
      <c r="AB483" s="990"/>
      <c r="AC483" s="990"/>
      <c r="AD483" s="991"/>
      <c r="AE483" s="991"/>
      <c r="AF483" s="973"/>
      <c r="AG483" s="973"/>
      <c r="AH483" s="798"/>
      <c r="AI483" s="985"/>
      <c r="AJ483" s="221"/>
      <c r="AK483" s="976"/>
      <c r="AL483" s="551"/>
      <c r="AM483" s="992"/>
      <c r="AN483" s="126"/>
      <c r="AO483" s="126"/>
      <c r="AP483" s="993"/>
      <c r="AQ483" s="979"/>
      <c r="AR483" s="994"/>
      <c r="AS483" s="995"/>
      <c r="AT483" s="285"/>
      <c r="AU483" s="189"/>
      <c r="AV483" s="189"/>
      <c r="AW483" s="189"/>
      <c r="AX483" s="521"/>
      <c r="AY483" s="507"/>
      <c r="AZ483" s="189"/>
      <c r="BA483" s="189"/>
      <c r="BB483" s="189"/>
      <c r="BC483" s="517"/>
      <c r="BD483" s="189"/>
      <c r="BE483" s="4"/>
      <c r="BF483" s="532"/>
      <c r="BG483" s="4"/>
      <c r="BH483" s="4"/>
      <c r="BI483" s="4"/>
      <c r="BJ483" s="4"/>
      <c r="BK483" s="4"/>
      <c r="BL483" s="4"/>
      <c r="BM483" s="4"/>
      <c r="BN483" s="4"/>
      <c r="BO483" s="285"/>
      <c r="BP483" s="285"/>
      <c r="BQ483" s="285"/>
      <c r="BR483" s="285"/>
      <c r="BS483" s="285"/>
      <c r="BT483" s="285"/>
    </row>
    <row r="484" spans="1:72" s="474" customFormat="1" ht="21.75" customHeight="1">
      <c r="A484" s="468">
        <v>4627101825897</v>
      </c>
      <c r="B484" s="375">
        <v>2432</v>
      </c>
      <c r="C484" s="469" t="s">
        <v>2375</v>
      </c>
      <c r="D484" s="834"/>
      <c r="E484" s="422" t="s">
        <v>2366</v>
      </c>
      <c r="F484" s="415"/>
      <c r="G484" s="471"/>
      <c r="H484" s="471"/>
      <c r="I484" s="471"/>
      <c r="J484" s="315">
        <v>50</v>
      </c>
      <c r="K484" s="418">
        <f t="shared" si="396"/>
        <v>0</v>
      </c>
      <c r="L484" s="421">
        <f t="shared" si="387"/>
        <v>52.5</v>
      </c>
      <c r="M484" s="418">
        <f t="shared" si="383"/>
        <v>0</v>
      </c>
      <c r="N484" s="421">
        <f t="shared" si="388"/>
        <v>55</v>
      </c>
      <c r="O484" s="418">
        <f t="shared" si="384"/>
        <v>0</v>
      </c>
      <c r="P484" s="421">
        <f t="shared" si="389"/>
        <v>57.5</v>
      </c>
      <c r="Q484" s="418">
        <f t="shared" si="385"/>
        <v>0</v>
      </c>
      <c r="R484" s="421">
        <f t="shared" si="390"/>
        <v>62.5</v>
      </c>
      <c r="S484" s="472">
        <f t="shared" si="386"/>
        <v>0</v>
      </c>
      <c r="T484" s="876">
        <v>3</v>
      </c>
      <c r="U484" s="876">
        <f t="shared" si="391"/>
        <v>0</v>
      </c>
      <c r="V484" s="473"/>
      <c r="W484" s="968"/>
      <c r="X484" s="285"/>
      <c r="Y484" s="795">
        <v>9</v>
      </c>
      <c r="Z484" s="221"/>
      <c r="AA484" s="969" t="s">
        <v>2328</v>
      </c>
      <c r="AB484" s="990"/>
      <c r="AC484" s="990"/>
      <c r="AD484" s="991"/>
      <c r="AE484" s="991"/>
      <c r="AF484" s="973"/>
      <c r="AG484" s="973"/>
      <c r="AH484" s="798"/>
      <c r="AI484" s="985"/>
      <c r="AJ484" s="221"/>
      <c r="AK484" s="976"/>
      <c r="AL484" s="551"/>
      <c r="AM484" s="992"/>
      <c r="AN484" s="126"/>
      <c r="AO484" s="126"/>
      <c r="AP484" s="993"/>
      <c r="AQ484" s="979"/>
      <c r="AR484" s="994"/>
      <c r="AS484" s="995"/>
      <c r="AT484" s="285"/>
      <c r="AU484" s="189"/>
      <c r="AV484" s="189"/>
      <c r="AW484" s="189"/>
      <c r="AX484" s="521"/>
      <c r="AY484" s="507"/>
      <c r="AZ484" s="189"/>
      <c r="BA484" s="189"/>
      <c r="BB484" s="189"/>
      <c r="BC484" s="517"/>
      <c r="BD484" s="189"/>
      <c r="BE484" s="4"/>
      <c r="BF484" s="532"/>
      <c r="BG484" s="4"/>
      <c r="BH484" s="4"/>
      <c r="BI484" s="4"/>
      <c r="BJ484" s="4"/>
      <c r="BK484" s="4"/>
      <c r="BL484" s="4"/>
      <c r="BM484" s="4"/>
      <c r="BN484" s="4"/>
      <c r="BO484" s="285"/>
      <c r="BP484" s="285"/>
      <c r="BQ484" s="285"/>
      <c r="BR484" s="285"/>
      <c r="BS484" s="285"/>
      <c r="BT484" s="285"/>
    </row>
    <row r="485" spans="1:72" s="474" customFormat="1" ht="21.75" customHeight="1">
      <c r="A485" s="468">
        <v>4627186344047</v>
      </c>
      <c r="B485" s="375">
        <v>4407</v>
      </c>
      <c r="C485" s="469" t="s">
        <v>2376</v>
      </c>
      <c r="D485" s="834"/>
      <c r="E485" s="422" t="s">
        <v>2361</v>
      </c>
      <c r="F485" s="415"/>
      <c r="G485" s="471"/>
      <c r="H485" s="471"/>
      <c r="I485" s="471"/>
      <c r="J485" s="315">
        <v>25</v>
      </c>
      <c r="K485" s="418">
        <f t="shared" si="396"/>
        <v>0</v>
      </c>
      <c r="L485" s="421">
        <f t="shared" si="387"/>
        <v>26.25</v>
      </c>
      <c r="M485" s="418">
        <f t="shared" si="383"/>
        <v>0</v>
      </c>
      <c r="N485" s="421">
        <f t="shared" si="388"/>
        <v>27.5</v>
      </c>
      <c r="O485" s="418">
        <f t="shared" si="384"/>
        <v>0</v>
      </c>
      <c r="P485" s="421">
        <f t="shared" si="389"/>
        <v>28.75</v>
      </c>
      <c r="Q485" s="418">
        <f t="shared" si="385"/>
        <v>0</v>
      </c>
      <c r="R485" s="421">
        <f t="shared" si="390"/>
        <v>31.25</v>
      </c>
      <c r="S485" s="472">
        <f t="shared" si="386"/>
        <v>0</v>
      </c>
      <c r="T485" s="876">
        <v>6</v>
      </c>
      <c r="U485" s="876">
        <f t="shared" si="391"/>
        <v>0</v>
      </c>
      <c r="V485" s="473"/>
      <c r="W485" s="968"/>
      <c r="X485" s="285"/>
      <c r="Y485" s="795">
        <v>9</v>
      </c>
      <c r="Z485" s="221"/>
      <c r="AA485" s="969" t="s">
        <v>2328</v>
      </c>
      <c r="AB485" s="990"/>
      <c r="AC485" s="990"/>
      <c r="AD485" s="991"/>
      <c r="AE485" s="991"/>
      <c r="AF485" s="973"/>
      <c r="AG485" s="973"/>
      <c r="AH485" s="798"/>
      <c r="AI485" s="985"/>
      <c r="AJ485" s="221"/>
      <c r="AK485" s="976"/>
      <c r="AL485" s="551"/>
      <c r="AM485" s="992"/>
      <c r="AN485" s="126"/>
      <c r="AO485" s="126"/>
      <c r="AP485" s="993"/>
      <c r="AQ485" s="979"/>
      <c r="AR485" s="994"/>
      <c r="AS485" s="995"/>
      <c r="AT485" s="285"/>
      <c r="AU485" s="189"/>
      <c r="AV485" s="189"/>
      <c r="AW485" s="189"/>
      <c r="AX485" s="521"/>
      <c r="AY485" s="507"/>
      <c r="AZ485" s="189"/>
      <c r="BA485" s="189"/>
      <c r="BB485" s="189"/>
      <c r="BC485" s="517"/>
      <c r="BD485" s="189"/>
      <c r="BE485" s="4"/>
      <c r="BF485" s="532"/>
      <c r="BG485" s="4"/>
      <c r="BH485" s="4"/>
      <c r="BI485" s="4"/>
      <c r="BJ485" s="4"/>
      <c r="BK485" s="4"/>
      <c r="BL485" s="4"/>
      <c r="BM485" s="4"/>
      <c r="BN485" s="4"/>
      <c r="BO485" s="285"/>
      <c r="BP485" s="285"/>
      <c r="BQ485" s="285"/>
      <c r="BR485" s="285"/>
      <c r="BS485" s="285"/>
      <c r="BT485" s="285"/>
    </row>
    <row r="486" spans="1:72" s="474" customFormat="1" ht="21.75" customHeight="1">
      <c r="A486" s="468">
        <v>4627186344054</v>
      </c>
      <c r="B486" s="375">
        <v>4408</v>
      </c>
      <c r="C486" s="469" t="s">
        <v>2377</v>
      </c>
      <c r="D486" s="834"/>
      <c r="E486" s="422" t="s">
        <v>2361</v>
      </c>
      <c r="F486" s="415"/>
      <c r="G486" s="471"/>
      <c r="H486" s="471"/>
      <c r="I486" s="471"/>
      <c r="J486" s="315">
        <v>25</v>
      </c>
      <c r="K486" s="418">
        <f t="shared" si="396"/>
        <v>0</v>
      </c>
      <c r="L486" s="421">
        <f t="shared" si="387"/>
        <v>26.25</v>
      </c>
      <c r="M486" s="418">
        <f t="shared" si="383"/>
        <v>0</v>
      </c>
      <c r="N486" s="421">
        <f t="shared" si="388"/>
        <v>27.5</v>
      </c>
      <c r="O486" s="418">
        <f t="shared" si="384"/>
        <v>0</v>
      </c>
      <c r="P486" s="421">
        <f t="shared" si="389"/>
        <v>28.75</v>
      </c>
      <c r="Q486" s="418">
        <f t="shared" si="385"/>
        <v>0</v>
      </c>
      <c r="R486" s="421">
        <f t="shared" si="390"/>
        <v>31.25</v>
      </c>
      <c r="S486" s="472">
        <f t="shared" si="386"/>
        <v>0</v>
      </c>
      <c r="T486" s="876">
        <v>6</v>
      </c>
      <c r="U486" s="876">
        <f t="shared" si="391"/>
        <v>0</v>
      </c>
      <c r="V486" s="473"/>
      <c r="W486" s="968"/>
      <c r="X486" s="285"/>
      <c r="Y486" s="795">
        <v>9</v>
      </c>
      <c r="Z486" s="221"/>
      <c r="AA486" s="969" t="s">
        <v>2328</v>
      </c>
      <c r="AB486" s="990"/>
      <c r="AC486" s="990"/>
      <c r="AD486" s="991"/>
      <c r="AE486" s="991"/>
      <c r="AF486" s="973"/>
      <c r="AG486" s="973"/>
      <c r="AH486" s="798"/>
      <c r="AI486" s="985"/>
      <c r="AJ486" s="221"/>
      <c r="AK486" s="976"/>
      <c r="AL486" s="551"/>
      <c r="AM486" s="992"/>
      <c r="AN486" s="126"/>
      <c r="AO486" s="126"/>
      <c r="AP486" s="993"/>
      <c r="AQ486" s="979"/>
      <c r="AR486" s="994"/>
      <c r="AS486" s="995"/>
      <c r="AT486" s="285"/>
      <c r="AU486" s="189"/>
      <c r="AV486" s="189"/>
      <c r="AW486" s="189"/>
      <c r="AX486" s="521"/>
      <c r="AY486" s="507"/>
      <c r="AZ486" s="189"/>
      <c r="BA486" s="189"/>
      <c r="BB486" s="189"/>
      <c r="BC486" s="517"/>
      <c r="BD486" s="189"/>
      <c r="BE486" s="4"/>
      <c r="BF486" s="532"/>
      <c r="BG486" s="4"/>
      <c r="BH486" s="4"/>
      <c r="BI486" s="4"/>
      <c r="BJ486" s="4"/>
      <c r="BK486" s="4"/>
      <c r="BL486" s="4"/>
      <c r="BM486" s="4"/>
      <c r="BN486" s="4"/>
      <c r="BO486" s="285"/>
      <c r="BP486" s="285"/>
      <c r="BQ486" s="285"/>
      <c r="BR486" s="285"/>
      <c r="BS486" s="285"/>
      <c r="BT486" s="285"/>
    </row>
    <row r="487" spans="1:72" s="474" customFormat="1" ht="21.75" customHeight="1">
      <c r="A487" s="468">
        <v>4627101824135</v>
      </c>
      <c r="B487" s="375">
        <v>2378</v>
      </c>
      <c r="C487" s="469" t="s">
        <v>2378</v>
      </c>
      <c r="D487" s="834"/>
      <c r="E487" s="422" t="s">
        <v>2366</v>
      </c>
      <c r="F487" s="415"/>
      <c r="G487" s="471"/>
      <c r="H487" s="471"/>
      <c r="I487" s="471"/>
      <c r="J487" s="315">
        <v>50</v>
      </c>
      <c r="K487" s="418">
        <f t="shared" si="396"/>
        <v>0</v>
      </c>
      <c r="L487" s="421">
        <f t="shared" si="387"/>
        <v>52.5</v>
      </c>
      <c r="M487" s="418">
        <f t="shared" si="383"/>
        <v>0</v>
      </c>
      <c r="N487" s="421">
        <f t="shared" si="388"/>
        <v>55</v>
      </c>
      <c r="O487" s="418">
        <f t="shared" si="384"/>
        <v>0</v>
      </c>
      <c r="P487" s="421">
        <f t="shared" si="389"/>
        <v>57.5</v>
      </c>
      <c r="Q487" s="418">
        <f t="shared" si="385"/>
        <v>0</v>
      </c>
      <c r="R487" s="421">
        <f t="shared" si="390"/>
        <v>62.5</v>
      </c>
      <c r="S487" s="472">
        <f t="shared" si="386"/>
        <v>0</v>
      </c>
      <c r="T487" s="876">
        <v>6</v>
      </c>
      <c r="U487" s="876">
        <f t="shared" si="391"/>
        <v>0</v>
      </c>
      <c r="V487" s="473"/>
      <c r="W487" s="968"/>
      <c r="X487" s="285"/>
      <c r="Y487" s="795">
        <v>9</v>
      </c>
      <c r="Z487" s="221"/>
      <c r="AA487" s="969" t="s">
        <v>2328</v>
      </c>
      <c r="AB487" s="990"/>
      <c r="AC487" s="990"/>
      <c r="AD487" s="991"/>
      <c r="AE487" s="991"/>
      <c r="AF487" s="973"/>
      <c r="AG487" s="973"/>
      <c r="AH487" s="798"/>
      <c r="AI487" s="985"/>
      <c r="AJ487" s="221"/>
      <c r="AK487" s="976"/>
      <c r="AL487" s="551"/>
      <c r="AM487" s="992"/>
      <c r="AN487" s="126"/>
      <c r="AO487" s="126"/>
      <c r="AP487" s="993"/>
      <c r="AQ487" s="979"/>
      <c r="AR487" s="994"/>
      <c r="AS487" s="995"/>
      <c r="AT487" s="285"/>
      <c r="AU487" s="189"/>
      <c r="AV487" s="189"/>
      <c r="AW487" s="189"/>
      <c r="AX487" s="521"/>
      <c r="AY487" s="507"/>
      <c r="AZ487" s="189"/>
      <c r="BA487" s="189"/>
      <c r="BB487" s="189"/>
      <c r="BC487" s="517"/>
      <c r="BD487" s="189"/>
      <c r="BE487" s="4"/>
      <c r="BF487" s="532"/>
      <c r="BG487" s="4"/>
      <c r="BH487" s="4"/>
      <c r="BI487" s="4"/>
      <c r="BJ487" s="4"/>
      <c r="BK487" s="4"/>
      <c r="BL487" s="4"/>
      <c r="BM487" s="4"/>
      <c r="BN487" s="4"/>
      <c r="BO487" s="285"/>
      <c r="BP487" s="285"/>
      <c r="BQ487" s="285"/>
      <c r="BR487" s="285"/>
      <c r="BS487" s="285"/>
      <c r="BT487" s="285"/>
    </row>
    <row r="488" spans="1:72" s="474" customFormat="1" ht="21.75" customHeight="1">
      <c r="A488" s="468">
        <v>4627186344061</v>
      </c>
      <c r="B488" s="375">
        <v>4413</v>
      </c>
      <c r="C488" s="469" t="s">
        <v>2379</v>
      </c>
      <c r="D488" s="834"/>
      <c r="E488" s="422" t="s">
        <v>2361</v>
      </c>
      <c r="F488" s="415"/>
      <c r="G488" s="471"/>
      <c r="H488" s="471"/>
      <c r="I488" s="471"/>
      <c r="J488" s="315">
        <v>15</v>
      </c>
      <c r="K488" s="418">
        <f t="shared" si="396"/>
        <v>0</v>
      </c>
      <c r="L488" s="421">
        <f t="shared" si="387"/>
        <v>15.75</v>
      </c>
      <c r="M488" s="418">
        <f t="shared" si="383"/>
        <v>0</v>
      </c>
      <c r="N488" s="421">
        <f t="shared" si="388"/>
        <v>16.5</v>
      </c>
      <c r="O488" s="418">
        <f t="shared" si="384"/>
        <v>0</v>
      </c>
      <c r="P488" s="421">
        <f t="shared" si="389"/>
        <v>17.25</v>
      </c>
      <c r="Q488" s="418">
        <f t="shared" si="385"/>
        <v>0</v>
      </c>
      <c r="R488" s="421">
        <f t="shared" si="390"/>
        <v>18.75</v>
      </c>
      <c r="S488" s="472">
        <f t="shared" si="386"/>
        <v>0</v>
      </c>
      <c r="T488" s="876">
        <v>6</v>
      </c>
      <c r="U488" s="876">
        <f t="shared" si="391"/>
        <v>0</v>
      </c>
      <c r="V488" s="473"/>
      <c r="W488" s="968"/>
      <c r="X488" s="285"/>
      <c r="Y488" s="795">
        <v>9</v>
      </c>
      <c r="Z488" s="221"/>
      <c r="AA488" s="969" t="s">
        <v>2328</v>
      </c>
      <c r="AB488" s="990"/>
      <c r="AC488" s="990"/>
      <c r="AD488" s="991"/>
      <c r="AE488" s="991"/>
      <c r="AF488" s="973"/>
      <c r="AG488" s="973"/>
      <c r="AH488" s="798"/>
      <c r="AI488" s="985"/>
      <c r="AJ488" s="221"/>
      <c r="AK488" s="976"/>
      <c r="AL488" s="551"/>
      <c r="AM488" s="992"/>
      <c r="AN488" s="126"/>
      <c r="AO488" s="126"/>
      <c r="AP488" s="993"/>
      <c r="AQ488" s="979"/>
      <c r="AR488" s="994"/>
      <c r="AS488" s="995"/>
      <c r="AT488" s="285"/>
      <c r="AU488" s="189"/>
      <c r="AV488" s="189"/>
      <c r="AW488" s="189"/>
      <c r="AX488" s="521"/>
      <c r="AY488" s="507"/>
      <c r="AZ488" s="189"/>
      <c r="BA488" s="189"/>
      <c r="BB488" s="189"/>
      <c r="BC488" s="517"/>
      <c r="BD488" s="189"/>
      <c r="BE488" s="4"/>
      <c r="BF488" s="532"/>
      <c r="BG488" s="4"/>
      <c r="BH488" s="4"/>
      <c r="BI488" s="4"/>
      <c r="BJ488" s="4"/>
      <c r="BK488" s="4"/>
      <c r="BL488" s="4"/>
      <c r="BM488" s="4"/>
      <c r="BN488" s="4"/>
      <c r="BO488" s="285"/>
      <c r="BP488" s="285"/>
      <c r="BQ488" s="285"/>
      <c r="BR488" s="285"/>
      <c r="BS488" s="285"/>
      <c r="BT488" s="285"/>
    </row>
    <row r="489" spans="1:72" s="474" customFormat="1" ht="20.25" customHeight="1">
      <c r="A489" s="468">
        <v>4627101824173</v>
      </c>
      <c r="B489" s="375">
        <v>2346</v>
      </c>
      <c r="C489" s="469" t="s">
        <v>2380</v>
      </c>
      <c r="D489" s="834"/>
      <c r="E489" s="422" t="s">
        <v>2361</v>
      </c>
      <c r="F489" s="415"/>
      <c r="G489" s="471"/>
      <c r="H489" s="471"/>
      <c r="I489" s="471"/>
      <c r="J489" s="315">
        <v>15</v>
      </c>
      <c r="K489" s="418">
        <f t="shared" si="396"/>
        <v>0</v>
      </c>
      <c r="L489" s="421">
        <f t="shared" si="387"/>
        <v>15.75</v>
      </c>
      <c r="M489" s="418">
        <f t="shared" si="383"/>
        <v>0</v>
      </c>
      <c r="N489" s="421">
        <f t="shared" si="388"/>
        <v>16.5</v>
      </c>
      <c r="O489" s="418">
        <f t="shared" si="384"/>
        <v>0</v>
      </c>
      <c r="P489" s="421">
        <f t="shared" si="389"/>
        <v>17.25</v>
      </c>
      <c r="Q489" s="418">
        <f t="shared" si="385"/>
        <v>0</v>
      </c>
      <c r="R489" s="421">
        <f t="shared" si="390"/>
        <v>18.75</v>
      </c>
      <c r="S489" s="472">
        <f t="shared" si="386"/>
        <v>0</v>
      </c>
      <c r="T489" s="876">
        <v>6</v>
      </c>
      <c r="U489" s="876">
        <f t="shared" si="391"/>
        <v>0</v>
      </c>
      <c r="V489" s="473"/>
      <c r="W489" s="968"/>
      <c r="X489" s="285"/>
      <c r="Y489" s="795">
        <v>6</v>
      </c>
      <c r="Z489" s="221"/>
      <c r="AA489" s="969" t="s">
        <v>2328</v>
      </c>
      <c r="AB489" s="990"/>
      <c r="AC489" s="990"/>
      <c r="AD489" s="991"/>
      <c r="AE489" s="991"/>
      <c r="AF489" s="973"/>
      <c r="AG489" s="973"/>
      <c r="AH489" s="798"/>
      <c r="AI489" s="985"/>
      <c r="AJ489" s="221"/>
      <c r="AK489" s="976"/>
      <c r="AL489" s="551"/>
      <c r="AM489" s="992"/>
      <c r="AN489" s="126"/>
      <c r="AO489" s="126"/>
      <c r="AP489" s="993"/>
      <c r="AQ489" s="979"/>
      <c r="AR489" s="994"/>
      <c r="AS489" s="995"/>
      <c r="AT489" s="285"/>
      <c r="AU489" s="189"/>
      <c r="AV489" s="189"/>
      <c r="AW489" s="189"/>
      <c r="AX489" s="521"/>
      <c r="AY489" s="507"/>
      <c r="AZ489" s="189"/>
      <c r="BA489" s="189"/>
      <c r="BB489" s="189"/>
      <c r="BC489" s="517"/>
      <c r="BD489" s="189"/>
      <c r="BE489" s="4"/>
      <c r="BF489" s="532"/>
      <c r="BG489" s="4"/>
      <c r="BH489" s="4"/>
      <c r="BI489" s="4"/>
      <c r="BJ489" s="4"/>
      <c r="BK489" s="4"/>
      <c r="BL489" s="4"/>
      <c r="BM489" s="4"/>
      <c r="BN489" s="4"/>
      <c r="BO489" s="285"/>
      <c r="BP489" s="285"/>
      <c r="BQ489" s="285"/>
      <c r="BR489" s="285"/>
      <c r="BS489" s="285"/>
      <c r="BT489" s="285"/>
    </row>
    <row r="490" spans="1:72" s="474" customFormat="1" ht="21.75" customHeight="1">
      <c r="A490" s="468">
        <v>4627101824197</v>
      </c>
      <c r="B490" s="375">
        <v>2716</v>
      </c>
      <c r="C490" s="469" t="s">
        <v>2381</v>
      </c>
      <c r="D490" s="834"/>
      <c r="E490" s="422" t="s">
        <v>2361</v>
      </c>
      <c r="F490" s="415"/>
      <c r="G490" s="471"/>
      <c r="H490" s="471"/>
      <c r="I490" s="471"/>
      <c r="J490" s="315">
        <v>20</v>
      </c>
      <c r="K490" s="418">
        <f t="shared" si="396"/>
        <v>0</v>
      </c>
      <c r="L490" s="421">
        <f t="shared" si="387"/>
        <v>21</v>
      </c>
      <c r="M490" s="418">
        <f t="shared" si="383"/>
        <v>0</v>
      </c>
      <c r="N490" s="421">
        <f t="shared" si="388"/>
        <v>22</v>
      </c>
      <c r="O490" s="418">
        <f t="shared" si="384"/>
        <v>0</v>
      </c>
      <c r="P490" s="421">
        <f t="shared" si="389"/>
        <v>23</v>
      </c>
      <c r="Q490" s="418">
        <f t="shared" si="385"/>
        <v>0</v>
      </c>
      <c r="R490" s="421">
        <f t="shared" si="390"/>
        <v>25</v>
      </c>
      <c r="S490" s="472">
        <f t="shared" si="386"/>
        <v>0</v>
      </c>
      <c r="T490" s="876">
        <v>6</v>
      </c>
      <c r="U490" s="876">
        <f t="shared" si="391"/>
        <v>0</v>
      </c>
      <c r="V490" s="473"/>
      <c r="W490" s="968"/>
      <c r="X490" s="285"/>
      <c r="Y490" s="795">
        <v>6</v>
      </c>
      <c r="Z490" s="221"/>
      <c r="AA490" s="969" t="s">
        <v>2328</v>
      </c>
      <c r="AB490" s="990"/>
      <c r="AC490" s="990"/>
      <c r="AD490" s="991"/>
      <c r="AE490" s="991"/>
      <c r="AF490" s="973"/>
      <c r="AG490" s="973"/>
      <c r="AH490" s="798"/>
      <c r="AI490" s="985"/>
      <c r="AJ490" s="221"/>
      <c r="AK490" s="976"/>
      <c r="AL490" s="551"/>
      <c r="AM490" s="992"/>
      <c r="AN490" s="126"/>
      <c r="AO490" s="126"/>
      <c r="AP490" s="993"/>
      <c r="AQ490" s="979"/>
      <c r="AR490" s="994"/>
      <c r="AS490" s="995"/>
      <c r="AT490" s="285"/>
      <c r="AU490" s="189"/>
      <c r="AV490" s="189"/>
      <c r="AW490" s="189"/>
      <c r="AX490" s="521"/>
      <c r="AY490" s="507"/>
      <c r="AZ490" s="189"/>
      <c r="BA490" s="189"/>
      <c r="BB490" s="189"/>
      <c r="BC490" s="517"/>
      <c r="BD490" s="189"/>
      <c r="BE490" s="4"/>
      <c r="BF490" s="532"/>
      <c r="BG490" s="4"/>
      <c r="BH490" s="4"/>
      <c r="BI490" s="4"/>
      <c r="BJ490" s="4"/>
      <c r="BK490" s="4"/>
      <c r="BL490" s="4"/>
      <c r="BM490" s="4"/>
      <c r="BN490" s="4"/>
      <c r="BO490" s="285"/>
      <c r="BP490" s="285"/>
      <c r="BQ490" s="285"/>
      <c r="BR490" s="285"/>
      <c r="BS490" s="285"/>
      <c r="BT490" s="285"/>
    </row>
    <row r="491" spans="1:72" s="474" customFormat="1" ht="21.75" customHeight="1">
      <c r="A491" s="468">
        <v>4627101825736</v>
      </c>
      <c r="B491" s="375">
        <v>2380</v>
      </c>
      <c r="C491" s="469" t="s">
        <v>2382</v>
      </c>
      <c r="D491" s="834"/>
      <c r="E491" s="422" t="s">
        <v>2366</v>
      </c>
      <c r="F491" s="415"/>
      <c r="G491" s="471"/>
      <c r="H491" s="471"/>
      <c r="I491" s="471"/>
      <c r="J491" s="315">
        <v>50</v>
      </c>
      <c r="K491" s="418">
        <f t="shared" si="396"/>
        <v>0</v>
      </c>
      <c r="L491" s="421">
        <f t="shared" si="387"/>
        <v>52.5</v>
      </c>
      <c r="M491" s="418">
        <f t="shared" si="383"/>
        <v>0</v>
      </c>
      <c r="N491" s="421">
        <f t="shared" si="388"/>
        <v>55</v>
      </c>
      <c r="O491" s="418">
        <f t="shared" si="384"/>
        <v>0</v>
      </c>
      <c r="P491" s="421">
        <f t="shared" si="389"/>
        <v>57.5</v>
      </c>
      <c r="Q491" s="418">
        <f t="shared" si="385"/>
        <v>0</v>
      </c>
      <c r="R491" s="421">
        <f t="shared" si="390"/>
        <v>62.5</v>
      </c>
      <c r="S491" s="472">
        <f t="shared" si="386"/>
        <v>0</v>
      </c>
      <c r="T491" s="876">
        <v>6</v>
      </c>
      <c r="U491" s="876">
        <f t="shared" si="391"/>
        <v>0</v>
      </c>
      <c r="V491" s="473"/>
      <c r="W491" s="968"/>
      <c r="X491" s="285"/>
      <c r="Y491" s="795">
        <v>6</v>
      </c>
      <c r="Z491" s="221"/>
      <c r="AA491" s="969" t="s">
        <v>2328</v>
      </c>
      <c r="AB491" s="990"/>
      <c r="AC491" s="990"/>
      <c r="AD491" s="991"/>
      <c r="AE491" s="991"/>
      <c r="AF491" s="973"/>
      <c r="AG491" s="973"/>
      <c r="AH491" s="798"/>
      <c r="AI491" s="985"/>
      <c r="AJ491" s="221"/>
      <c r="AK491" s="976"/>
      <c r="AL491" s="551"/>
      <c r="AM491" s="992"/>
      <c r="AN491" s="126"/>
      <c r="AO491" s="126"/>
      <c r="AP491" s="993"/>
      <c r="AQ491" s="979"/>
      <c r="AR491" s="994"/>
      <c r="AS491" s="995"/>
      <c r="AT491" s="285"/>
      <c r="AU491" s="189"/>
      <c r="AV491" s="189"/>
      <c r="AW491" s="189"/>
      <c r="AX491" s="521"/>
      <c r="AY491" s="507"/>
      <c r="AZ491" s="189"/>
      <c r="BA491" s="189"/>
      <c r="BB491" s="189"/>
      <c r="BC491" s="517"/>
      <c r="BD491" s="189"/>
      <c r="BE491" s="4"/>
      <c r="BF491" s="532"/>
      <c r="BG491" s="4"/>
      <c r="BH491" s="4"/>
      <c r="BI491" s="4"/>
      <c r="BJ491" s="4"/>
      <c r="BK491" s="4"/>
      <c r="BL491" s="4"/>
      <c r="BM491" s="4"/>
      <c r="BN491" s="4"/>
      <c r="BO491" s="285"/>
      <c r="BP491" s="285"/>
      <c r="BQ491" s="285"/>
      <c r="BR491" s="285"/>
      <c r="BS491" s="285"/>
      <c r="BT491" s="285"/>
    </row>
    <row r="492" spans="1:72" s="474" customFormat="1" ht="21.75" customHeight="1">
      <c r="A492" s="468">
        <v>4627101825675</v>
      </c>
      <c r="B492" s="375">
        <v>2336</v>
      </c>
      <c r="C492" s="469" t="s">
        <v>2383</v>
      </c>
      <c r="D492" s="834"/>
      <c r="E492" s="422" t="s">
        <v>2361</v>
      </c>
      <c r="F492" s="415"/>
      <c r="G492" s="471"/>
      <c r="H492" s="471"/>
      <c r="I492" s="471"/>
      <c r="J492" s="315">
        <v>50</v>
      </c>
      <c r="K492" s="418">
        <f t="shared" si="396"/>
        <v>0</v>
      </c>
      <c r="L492" s="421">
        <f t="shared" si="387"/>
        <v>52.5</v>
      </c>
      <c r="M492" s="418">
        <f t="shared" si="383"/>
        <v>0</v>
      </c>
      <c r="N492" s="421">
        <f t="shared" si="388"/>
        <v>55</v>
      </c>
      <c r="O492" s="418">
        <f t="shared" si="384"/>
        <v>0</v>
      </c>
      <c r="P492" s="421">
        <f t="shared" si="389"/>
        <v>57.5</v>
      </c>
      <c r="Q492" s="418">
        <f t="shared" si="385"/>
        <v>0</v>
      </c>
      <c r="R492" s="421">
        <f t="shared" si="390"/>
        <v>62.5</v>
      </c>
      <c r="S492" s="472">
        <f t="shared" si="386"/>
        <v>0</v>
      </c>
      <c r="T492" s="876">
        <v>6</v>
      </c>
      <c r="U492" s="876">
        <f t="shared" si="391"/>
        <v>0</v>
      </c>
      <c r="V492" s="473"/>
      <c r="W492" s="968"/>
      <c r="X492" s="285"/>
      <c r="Y492" s="795">
        <v>6</v>
      </c>
      <c r="Z492" s="221"/>
      <c r="AA492" s="969" t="s">
        <v>2328</v>
      </c>
      <c r="AB492" s="990"/>
      <c r="AC492" s="990"/>
      <c r="AD492" s="991"/>
      <c r="AE492" s="991"/>
      <c r="AF492" s="973"/>
      <c r="AG492" s="973"/>
      <c r="AH492" s="798"/>
      <c r="AI492" s="985"/>
      <c r="AJ492" s="221"/>
      <c r="AK492" s="976"/>
      <c r="AL492" s="551"/>
      <c r="AM492" s="992"/>
      <c r="AN492" s="126"/>
      <c r="AO492" s="126"/>
      <c r="AP492" s="993"/>
      <c r="AQ492" s="979"/>
      <c r="AR492" s="994"/>
      <c r="AS492" s="995"/>
      <c r="AT492" s="285"/>
      <c r="AU492" s="189"/>
      <c r="AV492" s="189"/>
      <c r="AW492" s="189"/>
      <c r="AX492" s="521"/>
      <c r="AY492" s="507"/>
      <c r="AZ492" s="189"/>
      <c r="BA492" s="189"/>
      <c r="BB492" s="189"/>
      <c r="BC492" s="517"/>
      <c r="BD492" s="189"/>
      <c r="BE492" s="4"/>
      <c r="BF492" s="532"/>
      <c r="BG492" s="4"/>
      <c r="BH492" s="4"/>
      <c r="BI492" s="4"/>
      <c r="BJ492" s="4"/>
      <c r="BK492" s="4"/>
      <c r="BL492" s="4"/>
      <c r="BM492" s="4"/>
      <c r="BN492" s="4"/>
      <c r="BO492" s="285"/>
      <c r="BP492" s="285"/>
      <c r="BQ492" s="285"/>
      <c r="BR492" s="285"/>
      <c r="BS492" s="285"/>
      <c r="BT492" s="285"/>
    </row>
    <row r="493" spans="1:72" s="474" customFormat="1" ht="21.75" customHeight="1">
      <c r="A493" s="468">
        <v>4627101825699</v>
      </c>
      <c r="B493" s="375">
        <v>2337</v>
      </c>
      <c r="C493" s="469" t="s">
        <v>2384</v>
      </c>
      <c r="D493" s="834"/>
      <c r="E493" s="422" t="s">
        <v>2361</v>
      </c>
      <c r="F493" s="415"/>
      <c r="G493" s="471"/>
      <c r="H493" s="471"/>
      <c r="I493" s="471"/>
      <c r="J493" s="315">
        <v>50</v>
      </c>
      <c r="K493" s="418">
        <f t="shared" si="396"/>
        <v>0</v>
      </c>
      <c r="L493" s="421">
        <f t="shared" si="387"/>
        <v>52.5</v>
      </c>
      <c r="M493" s="418">
        <f t="shared" si="383"/>
        <v>0</v>
      </c>
      <c r="N493" s="421">
        <f t="shared" si="388"/>
        <v>55</v>
      </c>
      <c r="O493" s="418">
        <f t="shared" si="384"/>
        <v>0</v>
      </c>
      <c r="P493" s="421">
        <f t="shared" si="389"/>
        <v>57.5</v>
      </c>
      <c r="Q493" s="418">
        <f t="shared" si="385"/>
        <v>0</v>
      </c>
      <c r="R493" s="421">
        <f t="shared" si="390"/>
        <v>62.5</v>
      </c>
      <c r="S493" s="472">
        <f t="shared" si="386"/>
        <v>0</v>
      </c>
      <c r="T493" s="876">
        <v>6</v>
      </c>
      <c r="U493" s="876">
        <f t="shared" si="391"/>
        <v>0</v>
      </c>
      <c r="V493" s="473"/>
      <c r="W493" s="968"/>
      <c r="X493" s="285"/>
      <c r="Y493" s="795">
        <v>6</v>
      </c>
      <c r="Z493" s="221"/>
      <c r="AA493" s="969" t="s">
        <v>2328</v>
      </c>
      <c r="AB493" s="990"/>
      <c r="AC493" s="990"/>
      <c r="AD493" s="991"/>
      <c r="AE493" s="991"/>
      <c r="AF493" s="973"/>
      <c r="AG493" s="973"/>
      <c r="AH493" s="798"/>
      <c r="AI493" s="985"/>
      <c r="AJ493" s="221"/>
      <c r="AK493" s="976"/>
      <c r="AL493" s="551"/>
      <c r="AM493" s="992"/>
      <c r="AN493" s="126"/>
      <c r="AO493" s="126"/>
      <c r="AP493" s="993"/>
      <c r="AQ493" s="979"/>
      <c r="AR493" s="994"/>
      <c r="AS493" s="995"/>
      <c r="AT493" s="285"/>
      <c r="AU493" s="189"/>
      <c r="AV493" s="189"/>
      <c r="AW493" s="189"/>
      <c r="AX493" s="521"/>
      <c r="AY493" s="507"/>
      <c r="AZ493" s="189"/>
      <c r="BA493" s="189"/>
      <c r="BB493" s="189"/>
      <c r="BC493" s="517"/>
      <c r="BD493" s="189"/>
      <c r="BE493" s="4"/>
      <c r="BF493" s="532"/>
      <c r="BG493" s="4"/>
      <c r="BH493" s="4"/>
      <c r="BI493" s="4"/>
      <c r="BJ493" s="4"/>
      <c r="BK493" s="4"/>
      <c r="BL493" s="4"/>
      <c r="BM493" s="4"/>
      <c r="BN493" s="4"/>
      <c r="BO493" s="285"/>
      <c r="BP493" s="285"/>
      <c r="BQ493" s="285"/>
      <c r="BR493" s="285"/>
      <c r="BS493" s="285"/>
      <c r="BT493" s="285"/>
    </row>
    <row r="494" spans="1:72" s="474" customFormat="1" ht="18.75" customHeight="1">
      <c r="A494" s="468">
        <v>4627186344092</v>
      </c>
      <c r="B494" s="375">
        <v>4410</v>
      </c>
      <c r="C494" s="469" t="s">
        <v>2385</v>
      </c>
      <c r="D494" s="834"/>
      <c r="E494" s="422" t="s">
        <v>2361</v>
      </c>
      <c r="F494" s="415"/>
      <c r="G494" s="471"/>
      <c r="H494" s="471"/>
      <c r="I494" s="471"/>
      <c r="J494" s="315">
        <v>15</v>
      </c>
      <c r="K494" s="418">
        <f t="shared" si="396"/>
        <v>0</v>
      </c>
      <c r="L494" s="421">
        <f t="shared" si="387"/>
        <v>15.75</v>
      </c>
      <c r="M494" s="418">
        <f t="shared" si="383"/>
        <v>0</v>
      </c>
      <c r="N494" s="421">
        <f t="shared" si="388"/>
        <v>16.5</v>
      </c>
      <c r="O494" s="418">
        <f t="shared" si="384"/>
        <v>0</v>
      </c>
      <c r="P494" s="421">
        <f t="shared" si="389"/>
        <v>17.25</v>
      </c>
      <c r="Q494" s="418">
        <f t="shared" si="385"/>
        <v>0</v>
      </c>
      <c r="R494" s="421">
        <f t="shared" si="390"/>
        <v>18.75</v>
      </c>
      <c r="S494" s="472">
        <f t="shared" si="386"/>
        <v>0</v>
      </c>
      <c r="T494" s="876">
        <v>6</v>
      </c>
      <c r="U494" s="876">
        <f t="shared" si="391"/>
        <v>0</v>
      </c>
      <c r="V494" s="473"/>
      <c r="W494" s="968"/>
      <c r="X494" s="285"/>
      <c r="Y494" s="795">
        <v>6</v>
      </c>
      <c r="Z494" s="221"/>
      <c r="AA494" s="969" t="s">
        <v>2328</v>
      </c>
      <c r="AB494" s="990"/>
      <c r="AC494" s="990"/>
      <c r="AD494" s="991"/>
      <c r="AE494" s="991"/>
      <c r="AF494" s="973"/>
      <c r="AG494" s="973"/>
      <c r="AH494" s="798"/>
      <c r="AI494" s="985"/>
      <c r="AJ494" s="221"/>
      <c r="AK494" s="976"/>
      <c r="AL494" s="551"/>
      <c r="AM494" s="992"/>
      <c r="AN494" s="126"/>
      <c r="AO494" s="126"/>
      <c r="AP494" s="993"/>
      <c r="AQ494" s="979"/>
      <c r="AR494" s="994"/>
      <c r="AS494" s="995"/>
      <c r="AT494" s="285"/>
      <c r="AU494" s="189"/>
      <c r="AV494" s="189"/>
      <c r="AW494" s="189"/>
      <c r="AX494" s="521"/>
      <c r="AY494" s="507"/>
      <c r="AZ494" s="189"/>
      <c r="BA494" s="189"/>
      <c r="BB494" s="189"/>
      <c r="BC494" s="517"/>
      <c r="BD494" s="189"/>
      <c r="BE494" s="4"/>
      <c r="BF494" s="532"/>
      <c r="BG494" s="4"/>
      <c r="BH494" s="4"/>
      <c r="BI494" s="4"/>
      <c r="BJ494" s="4"/>
      <c r="BK494" s="4"/>
      <c r="BL494" s="4"/>
      <c r="BM494" s="4"/>
      <c r="BN494" s="4"/>
      <c r="BO494" s="285"/>
      <c r="BP494" s="285"/>
      <c r="BQ494" s="285"/>
      <c r="BR494" s="285"/>
      <c r="BS494" s="285"/>
      <c r="BT494" s="285"/>
    </row>
    <row r="495" spans="1:72" s="474" customFormat="1" ht="21.75" customHeight="1">
      <c r="A495" s="468">
        <v>4627101825798</v>
      </c>
      <c r="B495" s="375">
        <v>2377</v>
      </c>
      <c r="C495" s="469" t="s">
        <v>2386</v>
      </c>
      <c r="D495" s="834"/>
      <c r="E495" s="422" t="s">
        <v>2366</v>
      </c>
      <c r="F495" s="415"/>
      <c r="G495" s="471"/>
      <c r="H495" s="471"/>
      <c r="I495" s="471"/>
      <c r="J495" s="315">
        <v>50</v>
      </c>
      <c r="K495" s="418">
        <f t="shared" si="396"/>
        <v>0</v>
      </c>
      <c r="L495" s="421">
        <f t="shared" si="387"/>
        <v>52.5</v>
      </c>
      <c r="M495" s="418">
        <f t="shared" si="383"/>
        <v>0</v>
      </c>
      <c r="N495" s="421">
        <f t="shared" si="388"/>
        <v>55</v>
      </c>
      <c r="O495" s="418">
        <f t="shared" si="384"/>
        <v>0</v>
      </c>
      <c r="P495" s="421">
        <f t="shared" si="389"/>
        <v>57.5</v>
      </c>
      <c r="Q495" s="418">
        <f t="shared" si="385"/>
        <v>0</v>
      </c>
      <c r="R495" s="421">
        <f t="shared" si="390"/>
        <v>62.5</v>
      </c>
      <c r="S495" s="472">
        <f t="shared" si="386"/>
        <v>0</v>
      </c>
      <c r="T495" s="876">
        <v>3</v>
      </c>
      <c r="U495" s="876">
        <f t="shared" si="391"/>
        <v>0</v>
      </c>
      <c r="V495" s="473"/>
      <c r="W495" s="968"/>
      <c r="X495" s="285"/>
      <c r="Y495" s="795">
        <v>6</v>
      </c>
      <c r="Z495" s="221"/>
      <c r="AA495" s="969" t="s">
        <v>2328</v>
      </c>
      <c r="AB495" s="990"/>
      <c r="AC495" s="990"/>
      <c r="AD495" s="991"/>
      <c r="AE495" s="991"/>
      <c r="AF495" s="973"/>
      <c r="AG495" s="973"/>
      <c r="AH495" s="798"/>
      <c r="AI495" s="985"/>
      <c r="AJ495" s="221"/>
      <c r="AK495" s="976"/>
      <c r="AL495" s="551"/>
      <c r="AM495" s="992"/>
      <c r="AN495" s="126"/>
      <c r="AO495" s="126"/>
      <c r="AP495" s="993"/>
      <c r="AQ495" s="979"/>
      <c r="AR495" s="994"/>
      <c r="AS495" s="995"/>
      <c r="AT495" s="285"/>
      <c r="AU495" s="189"/>
      <c r="AV495" s="189"/>
      <c r="AW495" s="189"/>
      <c r="AX495" s="521"/>
      <c r="AY495" s="507"/>
      <c r="AZ495" s="189"/>
      <c r="BA495" s="189"/>
      <c r="BB495" s="189"/>
      <c r="BC495" s="517"/>
      <c r="BD495" s="189"/>
      <c r="BE495" s="4"/>
      <c r="BF495" s="532"/>
      <c r="BG495" s="4"/>
      <c r="BH495" s="4"/>
      <c r="BI495" s="4"/>
      <c r="BJ495" s="4"/>
      <c r="BK495" s="4"/>
      <c r="BL495" s="4"/>
      <c r="BM495" s="4"/>
      <c r="BN495" s="4"/>
      <c r="BO495" s="285"/>
      <c r="BP495" s="285"/>
      <c r="BQ495" s="285"/>
      <c r="BR495" s="285"/>
      <c r="BS495" s="285"/>
      <c r="BT495" s="285"/>
    </row>
    <row r="496" spans="1:72" s="474" customFormat="1" ht="21" customHeight="1">
      <c r="A496" s="468">
        <v>4627186344108</v>
      </c>
      <c r="B496" s="375">
        <v>4403</v>
      </c>
      <c r="C496" s="469" t="s">
        <v>2387</v>
      </c>
      <c r="D496" s="834"/>
      <c r="E496" s="422" t="s">
        <v>2361</v>
      </c>
      <c r="F496" s="415"/>
      <c r="G496" s="471"/>
      <c r="H496" s="471"/>
      <c r="I496" s="471"/>
      <c r="J496" s="315">
        <v>25</v>
      </c>
      <c r="K496" s="418">
        <f t="shared" si="396"/>
        <v>0</v>
      </c>
      <c r="L496" s="421">
        <f t="shared" si="387"/>
        <v>26.25</v>
      </c>
      <c r="M496" s="418">
        <f t="shared" si="383"/>
        <v>0</v>
      </c>
      <c r="N496" s="421">
        <f t="shared" si="388"/>
        <v>27.5</v>
      </c>
      <c r="O496" s="418">
        <f t="shared" si="384"/>
        <v>0</v>
      </c>
      <c r="P496" s="421">
        <f t="shared" si="389"/>
        <v>28.75</v>
      </c>
      <c r="Q496" s="418">
        <f t="shared" si="385"/>
        <v>0</v>
      </c>
      <c r="R496" s="421">
        <f t="shared" si="390"/>
        <v>31.25</v>
      </c>
      <c r="S496" s="472">
        <f t="shared" si="386"/>
        <v>0</v>
      </c>
      <c r="T496" s="876">
        <v>6</v>
      </c>
      <c r="U496" s="876">
        <f t="shared" si="391"/>
        <v>0</v>
      </c>
      <c r="V496" s="473"/>
      <c r="W496" s="968"/>
      <c r="X496" s="285"/>
      <c r="Y496" s="795">
        <v>6</v>
      </c>
      <c r="Z496" s="221"/>
      <c r="AA496" s="969" t="s">
        <v>2328</v>
      </c>
      <c r="AB496" s="990"/>
      <c r="AC496" s="990"/>
      <c r="AD496" s="991"/>
      <c r="AE496" s="991"/>
      <c r="AF496" s="973"/>
      <c r="AG496" s="973"/>
      <c r="AH496" s="798"/>
      <c r="AI496" s="985"/>
      <c r="AJ496" s="221"/>
      <c r="AK496" s="976"/>
      <c r="AL496" s="551"/>
      <c r="AM496" s="992"/>
      <c r="AN496" s="126"/>
      <c r="AO496" s="126"/>
      <c r="AP496" s="993"/>
      <c r="AQ496" s="979"/>
      <c r="AR496" s="994"/>
      <c r="AS496" s="995"/>
      <c r="AT496" s="285"/>
      <c r="AU496" s="189"/>
      <c r="AV496" s="189"/>
      <c r="AW496" s="189"/>
      <c r="AX496" s="521"/>
      <c r="AY496" s="507"/>
      <c r="AZ496" s="189"/>
      <c r="BA496" s="189"/>
      <c r="BB496" s="189"/>
      <c r="BC496" s="517"/>
      <c r="BD496" s="189"/>
      <c r="BE496" s="4"/>
      <c r="BF496" s="532"/>
      <c r="BG496" s="4"/>
      <c r="BH496" s="4"/>
      <c r="BI496" s="4"/>
      <c r="BJ496" s="4"/>
      <c r="BK496" s="4"/>
      <c r="BL496" s="4"/>
      <c r="BM496" s="4"/>
      <c r="BN496" s="4"/>
      <c r="BO496" s="285"/>
      <c r="BP496" s="285"/>
      <c r="BQ496" s="285"/>
      <c r="BR496" s="285"/>
      <c r="BS496" s="285"/>
      <c r="BT496" s="285"/>
    </row>
    <row r="497" spans="1:72" s="474" customFormat="1" ht="21" customHeight="1">
      <c r="A497" s="468">
        <v>4627186344009</v>
      </c>
      <c r="B497" s="375">
        <v>4411</v>
      </c>
      <c r="C497" s="469" t="s">
        <v>2388</v>
      </c>
      <c r="D497" s="834"/>
      <c r="E497" s="422" t="s">
        <v>2361</v>
      </c>
      <c r="F497" s="415"/>
      <c r="G497" s="471"/>
      <c r="H497" s="471"/>
      <c r="I497" s="471"/>
      <c r="J497" s="315">
        <v>25</v>
      </c>
      <c r="K497" s="418">
        <f>J497*F497</f>
        <v>0</v>
      </c>
      <c r="L497" s="421">
        <f t="shared" si="387"/>
        <v>26.25</v>
      </c>
      <c r="M497" s="418">
        <f t="shared" si="383"/>
        <v>0</v>
      </c>
      <c r="N497" s="421">
        <f t="shared" si="388"/>
        <v>27.5</v>
      </c>
      <c r="O497" s="418">
        <f t="shared" si="384"/>
        <v>0</v>
      </c>
      <c r="P497" s="421">
        <f t="shared" si="389"/>
        <v>28.75</v>
      </c>
      <c r="Q497" s="418">
        <f t="shared" si="385"/>
        <v>0</v>
      </c>
      <c r="R497" s="421">
        <f t="shared" si="390"/>
        <v>31.25</v>
      </c>
      <c r="S497" s="472">
        <f t="shared" si="386"/>
        <v>0</v>
      </c>
      <c r="T497" s="876">
        <v>6</v>
      </c>
      <c r="U497" s="876">
        <f t="shared" si="391"/>
        <v>0</v>
      </c>
      <c r="V497" s="473"/>
      <c r="W497" s="968"/>
      <c r="X497" s="285"/>
      <c r="Y497" s="795">
        <v>6</v>
      </c>
      <c r="Z497" s="221"/>
      <c r="AA497" s="969" t="s">
        <v>2328</v>
      </c>
      <c r="AB497" s="990"/>
      <c r="AC497" s="990"/>
      <c r="AD497" s="991"/>
      <c r="AE497" s="991"/>
      <c r="AF497" s="973"/>
      <c r="AG497" s="973"/>
      <c r="AH497" s="798"/>
      <c r="AI497" s="985"/>
      <c r="AJ497" s="221"/>
      <c r="AK497" s="976"/>
      <c r="AL497" s="551"/>
      <c r="AM497" s="992"/>
      <c r="AN497" s="126"/>
      <c r="AO497" s="126"/>
      <c r="AP497" s="993"/>
      <c r="AQ497" s="979"/>
      <c r="AR497" s="994"/>
      <c r="AS497" s="995"/>
      <c r="AT497" s="285"/>
      <c r="AU497" s="189"/>
      <c r="AV497" s="189"/>
      <c r="AW497" s="189"/>
      <c r="AX497" s="521"/>
      <c r="AY497" s="507"/>
      <c r="AZ497" s="189"/>
      <c r="BA497" s="189"/>
      <c r="BB497" s="189"/>
      <c r="BC497" s="517"/>
      <c r="BD497" s="189"/>
      <c r="BE497" s="4"/>
      <c r="BF497" s="532"/>
      <c r="BG497" s="4"/>
      <c r="BH497" s="4"/>
      <c r="BI497" s="4"/>
      <c r="BJ497" s="4"/>
      <c r="BK497" s="4"/>
      <c r="BL497" s="4"/>
      <c r="BM497" s="4"/>
      <c r="BN497" s="4"/>
      <c r="BO497" s="285"/>
      <c r="BP497" s="285"/>
      <c r="BQ497" s="285"/>
      <c r="BR497" s="285"/>
      <c r="BS497" s="285"/>
      <c r="BT497" s="285"/>
    </row>
    <row r="498" spans="1:72" s="474" customFormat="1" ht="21" customHeight="1">
      <c r="A498" s="468">
        <v>4627186344016</v>
      </c>
      <c r="B498" s="375">
        <v>4412</v>
      </c>
      <c r="C498" s="469" t="s">
        <v>2389</v>
      </c>
      <c r="D498" s="834"/>
      <c r="E498" s="422" t="s">
        <v>2361</v>
      </c>
      <c r="F498" s="415"/>
      <c r="G498" s="471"/>
      <c r="H498" s="471"/>
      <c r="I498" s="471"/>
      <c r="J498" s="315">
        <v>25</v>
      </c>
      <c r="K498" s="418">
        <f t="shared" si="396"/>
        <v>0</v>
      </c>
      <c r="L498" s="421">
        <f t="shared" si="387"/>
        <v>26.25</v>
      </c>
      <c r="M498" s="418">
        <f t="shared" si="383"/>
        <v>0</v>
      </c>
      <c r="N498" s="421">
        <f t="shared" si="388"/>
        <v>27.5</v>
      </c>
      <c r="O498" s="418">
        <f t="shared" si="384"/>
        <v>0</v>
      </c>
      <c r="P498" s="421">
        <f t="shared" si="389"/>
        <v>28.75</v>
      </c>
      <c r="Q498" s="418">
        <f t="shared" si="385"/>
        <v>0</v>
      </c>
      <c r="R498" s="421">
        <f t="shared" si="390"/>
        <v>31.25</v>
      </c>
      <c r="S498" s="472">
        <f t="shared" si="386"/>
        <v>0</v>
      </c>
      <c r="T498" s="876">
        <v>6</v>
      </c>
      <c r="U498" s="876">
        <f t="shared" si="391"/>
        <v>0</v>
      </c>
      <c r="V498" s="473"/>
      <c r="W498" s="968"/>
      <c r="X498" s="285"/>
      <c r="Y498" s="795">
        <v>6</v>
      </c>
      <c r="Z498" s="221"/>
      <c r="AA498" s="969" t="s">
        <v>2328</v>
      </c>
      <c r="AB498" s="990"/>
      <c r="AC498" s="990"/>
      <c r="AD498" s="991"/>
      <c r="AE498" s="991"/>
      <c r="AF498" s="973"/>
      <c r="AG498" s="973"/>
      <c r="AH498" s="798"/>
      <c r="AI498" s="985"/>
      <c r="AJ498" s="221"/>
      <c r="AK498" s="976"/>
      <c r="AL498" s="551"/>
      <c r="AM498" s="992"/>
      <c r="AN498" s="126"/>
      <c r="AO498" s="126"/>
      <c r="AP498" s="993"/>
      <c r="AQ498" s="979"/>
      <c r="AR498" s="994"/>
      <c r="AS498" s="995"/>
      <c r="AT498" s="285"/>
      <c r="AU498" s="189"/>
      <c r="AV498" s="189"/>
      <c r="AW498" s="189"/>
      <c r="AX498" s="521"/>
      <c r="AY498" s="507"/>
      <c r="AZ498" s="189"/>
      <c r="BA498" s="189"/>
      <c r="BB498" s="189"/>
      <c r="BC498" s="517"/>
      <c r="BD498" s="189"/>
      <c r="BE498" s="4"/>
      <c r="BF498" s="532"/>
      <c r="BG498" s="4"/>
      <c r="BH498" s="4"/>
      <c r="BI498" s="4"/>
      <c r="BJ498" s="4"/>
      <c r="BK498" s="4"/>
      <c r="BL498" s="4"/>
      <c r="BM498" s="4"/>
      <c r="BN498" s="4"/>
      <c r="BO498" s="285"/>
      <c r="BP498" s="285"/>
      <c r="BQ498" s="285"/>
      <c r="BR498" s="285"/>
      <c r="BS498" s="285"/>
      <c r="BT498" s="285"/>
    </row>
    <row r="499" spans="1:72" s="474" customFormat="1" ht="21.75" customHeight="1">
      <c r="A499" s="468">
        <v>4627186344023</v>
      </c>
      <c r="B499" s="375">
        <v>4418</v>
      </c>
      <c r="C499" s="469" t="s">
        <v>2390</v>
      </c>
      <c r="D499" s="834"/>
      <c r="E499" s="422" t="s">
        <v>2361</v>
      </c>
      <c r="F499" s="415"/>
      <c r="G499" s="471"/>
      <c r="H499" s="471"/>
      <c r="I499" s="471"/>
      <c r="J499" s="315">
        <v>25</v>
      </c>
      <c r="K499" s="418">
        <f t="shared" si="396"/>
        <v>0</v>
      </c>
      <c r="L499" s="421">
        <f t="shared" si="387"/>
        <v>26.25</v>
      </c>
      <c r="M499" s="418">
        <f t="shared" si="383"/>
        <v>0</v>
      </c>
      <c r="N499" s="421">
        <f t="shared" si="388"/>
        <v>27.5</v>
      </c>
      <c r="O499" s="418">
        <f t="shared" si="384"/>
        <v>0</v>
      </c>
      <c r="P499" s="421">
        <f t="shared" si="389"/>
        <v>28.75</v>
      </c>
      <c r="Q499" s="418">
        <f t="shared" si="385"/>
        <v>0</v>
      </c>
      <c r="R499" s="421">
        <f t="shared" si="390"/>
        <v>31.25</v>
      </c>
      <c r="S499" s="472">
        <f t="shared" si="386"/>
        <v>0</v>
      </c>
      <c r="T499" s="876">
        <v>6</v>
      </c>
      <c r="U499" s="876">
        <f t="shared" si="391"/>
        <v>0</v>
      </c>
      <c r="V499" s="473"/>
      <c r="W499" s="968"/>
      <c r="X499" s="285"/>
      <c r="Y499" s="795">
        <v>6</v>
      </c>
      <c r="Z499" s="221"/>
      <c r="AA499" s="969" t="s">
        <v>2328</v>
      </c>
      <c r="AB499" s="990"/>
      <c r="AC499" s="990"/>
      <c r="AD499" s="991"/>
      <c r="AE499" s="991"/>
      <c r="AF499" s="973"/>
      <c r="AG499" s="973"/>
      <c r="AH499" s="798"/>
      <c r="AI499" s="985"/>
      <c r="AJ499" s="221"/>
      <c r="AK499" s="976"/>
      <c r="AL499" s="551"/>
      <c r="AM499" s="992"/>
      <c r="AN499" s="126"/>
      <c r="AO499" s="126"/>
      <c r="AP499" s="993"/>
      <c r="AQ499" s="979"/>
      <c r="AR499" s="994"/>
      <c r="AS499" s="995"/>
      <c r="AT499" s="285"/>
      <c r="AU499" s="189"/>
      <c r="AV499" s="189"/>
      <c r="AW499" s="189"/>
      <c r="AX499" s="521"/>
      <c r="AY499" s="507"/>
      <c r="AZ499" s="189"/>
      <c r="BA499" s="189"/>
      <c r="BB499" s="189"/>
      <c r="BC499" s="517"/>
      <c r="BD499" s="189"/>
      <c r="BE499" s="4"/>
      <c r="BF499" s="532"/>
      <c r="BG499" s="4"/>
      <c r="BH499" s="4"/>
      <c r="BI499" s="4"/>
      <c r="BJ499" s="4"/>
      <c r="BK499" s="4"/>
      <c r="BL499" s="4"/>
      <c r="BM499" s="4"/>
      <c r="BN499" s="4"/>
      <c r="BO499" s="285"/>
      <c r="BP499" s="285"/>
      <c r="BQ499" s="285"/>
      <c r="BR499" s="285"/>
      <c r="BS499" s="285"/>
      <c r="BT499" s="285"/>
    </row>
    <row r="500" spans="1:72" s="474" customFormat="1" ht="21.75" customHeight="1">
      <c r="A500" s="468">
        <v>4627186344030</v>
      </c>
      <c r="B500" s="375">
        <v>4417</v>
      </c>
      <c r="C500" s="469" t="s">
        <v>2391</v>
      </c>
      <c r="D500" s="834"/>
      <c r="E500" s="422" t="s">
        <v>2361</v>
      </c>
      <c r="F500" s="415"/>
      <c r="G500" s="471"/>
      <c r="H500" s="471"/>
      <c r="I500" s="471"/>
      <c r="J500" s="315">
        <v>25</v>
      </c>
      <c r="K500" s="418">
        <f t="shared" si="396"/>
        <v>0</v>
      </c>
      <c r="L500" s="421">
        <f t="shared" si="387"/>
        <v>26.25</v>
      </c>
      <c r="M500" s="418">
        <f t="shared" si="383"/>
        <v>0</v>
      </c>
      <c r="N500" s="421">
        <f t="shared" si="388"/>
        <v>27.5</v>
      </c>
      <c r="O500" s="418">
        <f t="shared" si="384"/>
        <v>0</v>
      </c>
      <c r="P500" s="421">
        <f t="shared" si="389"/>
        <v>28.75</v>
      </c>
      <c r="Q500" s="418">
        <f t="shared" si="385"/>
        <v>0</v>
      </c>
      <c r="R500" s="421">
        <f t="shared" si="390"/>
        <v>31.25</v>
      </c>
      <c r="S500" s="472">
        <f t="shared" si="386"/>
        <v>0</v>
      </c>
      <c r="T500" s="876">
        <v>6</v>
      </c>
      <c r="U500" s="876">
        <f t="shared" si="391"/>
        <v>0</v>
      </c>
      <c r="V500" s="473"/>
      <c r="W500" s="968"/>
      <c r="X500" s="285"/>
      <c r="Y500" s="795">
        <v>9</v>
      </c>
      <c r="Z500" s="221"/>
      <c r="AA500" s="969" t="s">
        <v>2328</v>
      </c>
      <c r="AB500" s="990"/>
      <c r="AC500" s="990"/>
      <c r="AD500" s="991"/>
      <c r="AE500" s="991"/>
      <c r="AF500" s="973"/>
      <c r="AG500" s="973"/>
      <c r="AH500" s="798"/>
      <c r="AI500" s="985"/>
      <c r="AJ500" s="221"/>
      <c r="AK500" s="976"/>
      <c r="AL500" s="551"/>
      <c r="AM500" s="992"/>
      <c r="AN500" s="126"/>
      <c r="AO500" s="126"/>
      <c r="AP500" s="993"/>
      <c r="AQ500" s="979"/>
      <c r="AR500" s="994"/>
      <c r="AS500" s="995"/>
      <c r="AT500" s="285"/>
      <c r="AU500" s="189"/>
      <c r="AV500" s="189"/>
      <c r="AW500" s="189"/>
      <c r="AX500" s="521"/>
      <c r="AY500" s="507"/>
      <c r="AZ500" s="189"/>
      <c r="BA500" s="189"/>
      <c r="BB500" s="189"/>
      <c r="BC500" s="517"/>
      <c r="BD500" s="189"/>
      <c r="BE500" s="4"/>
      <c r="BF500" s="532"/>
      <c r="BG500" s="4"/>
      <c r="BH500" s="4"/>
      <c r="BI500" s="4"/>
      <c r="BJ500" s="4"/>
      <c r="BK500" s="4"/>
      <c r="BL500" s="4"/>
      <c r="BM500" s="4"/>
      <c r="BN500" s="4"/>
      <c r="BO500" s="285"/>
      <c r="BP500" s="285"/>
      <c r="BQ500" s="285"/>
      <c r="BR500" s="285"/>
      <c r="BS500" s="285"/>
      <c r="BT500" s="285"/>
    </row>
    <row r="501" spans="1:72" s="474" customFormat="1" ht="28.5" customHeight="1">
      <c r="A501" s="468">
        <v>4627101826481</v>
      </c>
      <c r="B501" s="375">
        <v>2495</v>
      </c>
      <c r="C501" s="376" t="s">
        <v>2392</v>
      </c>
      <c r="D501" s="826"/>
      <c r="E501" s="422" t="s">
        <v>2361</v>
      </c>
      <c r="F501" s="415"/>
      <c r="G501" s="471"/>
      <c r="H501" s="471"/>
      <c r="I501" s="471"/>
      <c r="J501" s="423">
        <v>40</v>
      </c>
      <c r="K501" s="472">
        <f t="shared" si="396"/>
        <v>0</v>
      </c>
      <c r="L501" s="421">
        <f t="shared" si="387"/>
        <v>42</v>
      </c>
      <c r="M501" s="472">
        <f t="shared" si="383"/>
        <v>0</v>
      </c>
      <c r="N501" s="421">
        <f t="shared" si="388"/>
        <v>44</v>
      </c>
      <c r="O501" s="472">
        <f t="shared" si="384"/>
        <v>0</v>
      </c>
      <c r="P501" s="421">
        <f t="shared" si="389"/>
        <v>46</v>
      </c>
      <c r="Q501" s="472">
        <f t="shared" si="385"/>
        <v>0</v>
      </c>
      <c r="R501" s="421">
        <f t="shared" si="390"/>
        <v>50</v>
      </c>
      <c r="S501" s="472">
        <f t="shared" si="386"/>
        <v>0</v>
      </c>
      <c r="T501" s="876">
        <v>6</v>
      </c>
      <c r="U501" s="876">
        <f t="shared" si="391"/>
        <v>0</v>
      </c>
      <c r="V501" s="473"/>
      <c r="W501" s="968"/>
      <c r="X501" s="285"/>
      <c r="Y501" s="795">
        <v>6</v>
      </c>
      <c r="Z501" s="221"/>
      <c r="AA501" s="969" t="s">
        <v>2328</v>
      </c>
      <c r="AB501" s="990"/>
      <c r="AC501" s="990"/>
      <c r="AD501" s="991"/>
      <c r="AE501" s="991"/>
      <c r="AF501" s="973"/>
      <c r="AG501" s="973"/>
      <c r="AH501" s="798"/>
      <c r="AI501" s="985"/>
      <c r="AJ501" s="221"/>
      <c r="AK501" s="976"/>
      <c r="AL501" s="551"/>
      <c r="AM501" s="992"/>
      <c r="AN501" s="126"/>
      <c r="AO501" s="126"/>
      <c r="AP501" s="993"/>
      <c r="AQ501" s="979"/>
      <c r="AR501" s="994"/>
      <c r="AS501" s="995"/>
      <c r="AT501" s="285"/>
      <c r="AU501" s="189"/>
      <c r="AV501" s="189"/>
      <c r="AW501" s="189"/>
      <c r="AX501" s="521"/>
      <c r="AY501" s="507"/>
      <c r="AZ501" s="189"/>
      <c r="BA501" s="189"/>
      <c r="BB501" s="189"/>
      <c r="BC501" s="517"/>
      <c r="BD501" s="189"/>
      <c r="BE501" s="4"/>
      <c r="BF501" s="532"/>
      <c r="BG501" s="4"/>
      <c r="BH501" s="4"/>
      <c r="BI501" s="4"/>
      <c r="BJ501" s="4"/>
      <c r="BK501" s="4"/>
      <c r="BL501" s="4"/>
      <c r="BM501" s="4"/>
      <c r="BN501" s="4"/>
      <c r="BO501" s="285"/>
      <c r="BP501" s="285"/>
      <c r="BQ501" s="285"/>
      <c r="BR501" s="285"/>
      <c r="BS501" s="285"/>
      <c r="BT501" s="285"/>
    </row>
    <row r="502" spans="1:72" s="474" customFormat="1" ht="27" customHeight="1">
      <c r="A502" s="468">
        <v>4627101826474</v>
      </c>
      <c r="B502" s="375">
        <v>2496</v>
      </c>
      <c r="C502" s="376" t="s">
        <v>2393</v>
      </c>
      <c r="D502" s="826"/>
      <c r="E502" s="422" t="s">
        <v>2361</v>
      </c>
      <c r="F502" s="415"/>
      <c r="G502" s="471"/>
      <c r="H502" s="471"/>
      <c r="I502" s="471"/>
      <c r="J502" s="423">
        <v>40</v>
      </c>
      <c r="K502" s="472">
        <f t="shared" si="396"/>
        <v>0</v>
      </c>
      <c r="L502" s="421">
        <f t="shared" si="387"/>
        <v>42</v>
      </c>
      <c r="M502" s="472">
        <f t="shared" si="383"/>
        <v>0</v>
      </c>
      <c r="N502" s="421">
        <f t="shared" si="388"/>
        <v>44</v>
      </c>
      <c r="O502" s="472">
        <f t="shared" si="384"/>
        <v>0</v>
      </c>
      <c r="P502" s="421">
        <f t="shared" si="389"/>
        <v>46</v>
      </c>
      <c r="Q502" s="472">
        <f t="shared" si="385"/>
        <v>0</v>
      </c>
      <c r="R502" s="421">
        <f t="shared" si="390"/>
        <v>50</v>
      </c>
      <c r="S502" s="472">
        <f t="shared" si="386"/>
        <v>0</v>
      </c>
      <c r="T502" s="876">
        <v>6</v>
      </c>
      <c r="U502" s="876">
        <f t="shared" si="391"/>
        <v>0</v>
      </c>
      <c r="V502" s="473"/>
      <c r="W502" s="968"/>
      <c r="X502" s="285"/>
      <c r="Y502" s="795">
        <v>6</v>
      </c>
      <c r="Z502" s="221"/>
      <c r="AA502" s="969" t="s">
        <v>2328</v>
      </c>
      <c r="AB502" s="990"/>
      <c r="AC502" s="990"/>
      <c r="AD502" s="991"/>
      <c r="AE502" s="991"/>
      <c r="AF502" s="973"/>
      <c r="AG502" s="973"/>
      <c r="AH502" s="798"/>
      <c r="AI502" s="985"/>
      <c r="AJ502" s="221"/>
      <c r="AK502" s="976"/>
      <c r="AL502" s="551"/>
      <c r="AM502" s="992"/>
      <c r="AN502" s="126"/>
      <c r="AO502" s="126"/>
      <c r="AP502" s="993"/>
      <c r="AQ502" s="979"/>
      <c r="AR502" s="994"/>
      <c r="AS502" s="995"/>
      <c r="AT502" s="285"/>
      <c r="AU502" s="189"/>
      <c r="AV502" s="189"/>
      <c r="AW502" s="189"/>
      <c r="AX502" s="521"/>
      <c r="AY502" s="507"/>
      <c r="AZ502" s="189"/>
      <c r="BA502" s="189"/>
      <c r="BB502" s="189"/>
      <c r="BC502" s="517"/>
      <c r="BD502" s="189"/>
      <c r="BE502" s="4"/>
      <c r="BF502" s="532"/>
      <c r="BG502" s="4"/>
      <c r="BH502" s="4"/>
      <c r="BI502" s="4"/>
      <c r="BJ502" s="4"/>
      <c r="BK502" s="4"/>
      <c r="BL502" s="4"/>
      <c r="BM502" s="4"/>
      <c r="BN502" s="4"/>
      <c r="BO502" s="285"/>
      <c r="BP502" s="285"/>
      <c r="BQ502" s="285"/>
      <c r="BR502" s="285"/>
      <c r="BS502" s="285"/>
      <c r="BT502" s="285"/>
    </row>
    <row r="503" spans="1:72" s="474" customFormat="1" ht="27.75" customHeight="1">
      <c r="A503" s="468">
        <v>4627101826498</v>
      </c>
      <c r="B503" s="375">
        <v>2494</v>
      </c>
      <c r="C503" s="376" t="s">
        <v>2394</v>
      </c>
      <c r="D503" s="826"/>
      <c r="E503" s="422" t="s">
        <v>2361</v>
      </c>
      <c r="F503" s="415"/>
      <c r="G503" s="471"/>
      <c r="H503" s="471"/>
      <c r="I503" s="471"/>
      <c r="J503" s="423">
        <v>40</v>
      </c>
      <c r="K503" s="472">
        <f t="shared" si="396"/>
        <v>0</v>
      </c>
      <c r="L503" s="421">
        <f t="shared" si="387"/>
        <v>42</v>
      </c>
      <c r="M503" s="472">
        <f t="shared" si="383"/>
        <v>0</v>
      </c>
      <c r="N503" s="421">
        <f t="shared" si="388"/>
        <v>44</v>
      </c>
      <c r="O503" s="472">
        <f t="shared" si="384"/>
        <v>0</v>
      </c>
      <c r="P503" s="421">
        <f t="shared" si="389"/>
        <v>46</v>
      </c>
      <c r="Q503" s="472">
        <f t="shared" si="385"/>
        <v>0</v>
      </c>
      <c r="R503" s="421">
        <f t="shared" si="390"/>
        <v>50</v>
      </c>
      <c r="S503" s="472">
        <f t="shared" si="386"/>
        <v>0</v>
      </c>
      <c r="T503" s="876">
        <v>6</v>
      </c>
      <c r="U503" s="876">
        <f t="shared" si="391"/>
        <v>0</v>
      </c>
      <c r="V503" s="473"/>
      <c r="W503" s="968"/>
      <c r="X503" s="285"/>
      <c r="Y503" s="795">
        <v>6</v>
      </c>
      <c r="Z503" s="221"/>
      <c r="AA503" s="969" t="s">
        <v>2328</v>
      </c>
      <c r="AB503" s="990"/>
      <c r="AC503" s="990"/>
      <c r="AD503" s="991"/>
      <c r="AE503" s="991"/>
      <c r="AF503" s="973"/>
      <c r="AG503" s="973"/>
      <c r="AH503" s="798"/>
      <c r="AI503" s="985"/>
      <c r="AJ503" s="221"/>
      <c r="AK503" s="976"/>
      <c r="AL503" s="551"/>
      <c r="AM503" s="992"/>
      <c r="AN503" s="126"/>
      <c r="AO503" s="126"/>
      <c r="AP503" s="993"/>
      <c r="AQ503" s="979"/>
      <c r="AR503" s="994"/>
      <c r="AS503" s="995"/>
      <c r="AT503" s="285"/>
      <c r="AU503" s="189"/>
      <c r="AV503" s="189"/>
      <c r="AW503" s="189"/>
      <c r="AX503" s="521"/>
      <c r="AY503" s="507"/>
      <c r="AZ503" s="189"/>
      <c r="BA503" s="189"/>
      <c r="BB503" s="189"/>
      <c r="BC503" s="517"/>
      <c r="BD503" s="189"/>
      <c r="BE503" s="4"/>
      <c r="BF503" s="532"/>
      <c r="BG503" s="4"/>
      <c r="BH503" s="4"/>
      <c r="BI503" s="4"/>
      <c r="BJ503" s="4"/>
      <c r="BK503" s="4"/>
      <c r="BL503" s="4"/>
      <c r="BM503" s="4"/>
      <c r="BN503" s="4"/>
      <c r="BO503" s="285"/>
      <c r="BP503" s="285"/>
      <c r="BQ503" s="285"/>
      <c r="BR503" s="285"/>
      <c r="BS503" s="285"/>
      <c r="BT503" s="285"/>
    </row>
    <row r="504" spans="1:72" s="474" customFormat="1" ht="30.75" customHeight="1">
      <c r="A504" s="468">
        <v>4627101826511</v>
      </c>
      <c r="B504" s="375">
        <v>2497</v>
      </c>
      <c r="C504" s="376" t="s">
        <v>2395</v>
      </c>
      <c r="D504" s="826"/>
      <c r="E504" s="422" t="s">
        <v>2361</v>
      </c>
      <c r="F504" s="415"/>
      <c r="G504" s="471"/>
      <c r="H504" s="471"/>
      <c r="I504" s="471"/>
      <c r="J504" s="423">
        <v>40</v>
      </c>
      <c r="K504" s="472">
        <f t="shared" si="396"/>
        <v>0</v>
      </c>
      <c r="L504" s="421">
        <f t="shared" si="387"/>
        <v>42</v>
      </c>
      <c r="M504" s="472">
        <f t="shared" si="383"/>
        <v>0</v>
      </c>
      <c r="N504" s="421">
        <f t="shared" si="388"/>
        <v>44</v>
      </c>
      <c r="O504" s="472">
        <f t="shared" si="384"/>
        <v>0</v>
      </c>
      <c r="P504" s="421">
        <f t="shared" si="389"/>
        <v>46</v>
      </c>
      <c r="Q504" s="472">
        <f t="shared" si="385"/>
        <v>0</v>
      </c>
      <c r="R504" s="421">
        <f t="shared" si="390"/>
        <v>50</v>
      </c>
      <c r="S504" s="472">
        <f t="shared" si="386"/>
        <v>0</v>
      </c>
      <c r="T504" s="876">
        <v>6</v>
      </c>
      <c r="U504" s="876">
        <f t="shared" si="391"/>
        <v>0</v>
      </c>
      <c r="V504" s="473"/>
      <c r="W504" s="968"/>
      <c r="X504" s="285"/>
      <c r="Y504" s="795">
        <v>6</v>
      </c>
      <c r="Z504" s="221"/>
      <c r="AA504" s="969" t="s">
        <v>2328</v>
      </c>
      <c r="AB504" s="990"/>
      <c r="AC504" s="990"/>
      <c r="AD504" s="991"/>
      <c r="AE504" s="991"/>
      <c r="AF504" s="973"/>
      <c r="AG504" s="973"/>
      <c r="AH504" s="798"/>
      <c r="AI504" s="985"/>
      <c r="AJ504" s="221"/>
      <c r="AK504" s="976"/>
      <c r="AL504" s="551"/>
      <c r="AM504" s="992"/>
      <c r="AN504" s="126"/>
      <c r="AO504" s="126"/>
      <c r="AP504" s="993"/>
      <c r="AQ504" s="979"/>
      <c r="AR504" s="994"/>
      <c r="AS504" s="995"/>
      <c r="AT504" s="285"/>
      <c r="AU504" s="189"/>
      <c r="AV504" s="189"/>
      <c r="AW504" s="189"/>
      <c r="AX504" s="521"/>
      <c r="AY504" s="507"/>
      <c r="AZ504" s="189"/>
      <c r="BA504" s="189"/>
      <c r="BB504" s="189"/>
      <c r="BC504" s="517"/>
      <c r="BD504" s="189"/>
      <c r="BE504" s="4"/>
      <c r="BF504" s="532"/>
      <c r="BG504" s="4"/>
      <c r="BH504" s="4"/>
      <c r="BI504" s="4"/>
      <c r="BJ504" s="4"/>
      <c r="BK504" s="4"/>
      <c r="BL504" s="4"/>
      <c r="BM504" s="4"/>
      <c r="BN504" s="4"/>
      <c r="BO504" s="285"/>
      <c r="BP504" s="285"/>
      <c r="BQ504" s="285"/>
      <c r="BR504" s="285"/>
      <c r="BS504" s="285"/>
      <c r="BT504" s="285"/>
    </row>
    <row r="505" spans="1:72" s="474" customFormat="1" ht="19.5" customHeight="1">
      <c r="A505" s="468">
        <v>4627101829147</v>
      </c>
      <c r="B505" s="375">
        <v>3028</v>
      </c>
      <c r="C505" s="376" t="s">
        <v>2396</v>
      </c>
      <c r="D505" s="826"/>
      <c r="E505" s="422" t="s">
        <v>2361</v>
      </c>
      <c r="F505" s="415"/>
      <c r="G505" s="471"/>
      <c r="H505" s="471"/>
      <c r="I505" s="471"/>
      <c r="J505" s="315">
        <v>75</v>
      </c>
      <c r="K505" s="418">
        <f t="shared" si="396"/>
        <v>0</v>
      </c>
      <c r="L505" s="421">
        <f t="shared" si="387"/>
        <v>78.75</v>
      </c>
      <c r="M505" s="418">
        <f t="shared" si="383"/>
        <v>0</v>
      </c>
      <c r="N505" s="421">
        <f t="shared" si="388"/>
        <v>82.5</v>
      </c>
      <c r="O505" s="418">
        <f t="shared" si="384"/>
        <v>0</v>
      </c>
      <c r="P505" s="421">
        <f t="shared" si="389"/>
        <v>86.25</v>
      </c>
      <c r="Q505" s="418">
        <f t="shared" si="385"/>
        <v>0</v>
      </c>
      <c r="R505" s="421">
        <f t="shared" si="390"/>
        <v>93.75</v>
      </c>
      <c r="S505" s="472">
        <f t="shared" si="386"/>
        <v>0</v>
      </c>
      <c r="T505" s="876">
        <v>6</v>
      </c>
      <c r="U505" s="876">
        <f t="shared" si="391"/>
        <v>0</v>
      </c>
      <c r="V505" s="473"/>
      <c r="W505" s="968"/>
      <c r="X505" s="285"/>
      <c r="Y505" s="795">
        <v>9</v>
      </c>
      <c r="Z505" s="221"/>
      <c r="AA505" s="969" t="s">
        <v>2328</v>
      </c>
      <c r="AB505" s="990"/>
      <c r="AC505" s="990"/>
      <c r="AD505" s="991"/>
      <c r="AE505" s="991"/>
      <c r="AF505" s="973"/>
      <c r="AG505" s="973"/>
      <c r="AH505" s="798"/>
      <c r="AI505" s="985"/>
      <c r="AJ505" s="221"/>
      <c r="AK505" s="976"/>
      <c r="AL505" s="551"/>
      <c r="AM505" s="992"/>
      <c r="AN505" s="126"/>
      <c r="AO505" s="126"/>
      <c r="AP505" s="993"/>
      <c r="AQ505" s="979"/>
      <c r="AR505" s="994"/>
      <c r="AS505" s="995"/>
      <c r="AT505" s="285"/>
      <c r="AU505" s="189"/>
      <c r="AV505" s="189"/>
      <c r="AW505" s="189"/>
      <c r="AX505" s="521"/>
      <c r="AY505" s="507"/>
      <c r="AZ505" s="189"/>
      <c r="BA505" s="189"/>
      <c r="BB505" s="189"/>
      <c r="BC505" s="517"/>
      <c r="BD505" s="189"/>
      <c r="BE505" s="4"/>
      <c r="BF505" s="532"/>
      <c r="BG505" s="4"/>
      <c r="BH505" s="4"/>
      <c r="BI505" s="4"/>
      <c r="BJ505" s="4"/>
      <c r="BK505" s="4"/>
      <c r="BL505" s="4"/>
      <c r="BM505" s="4"/>
      <c r="BN505" s="4"/>
      <c r="BO505" s="285"/>
      <c r="BP505" s="285"/>
      <c r="BQ505" s="285"/>
      <c r="BR505" s="285"/>
      <c r="BS505" s="285"/>
      <c r="BT505" s="285"/>
    </row>
    <row r="506" spans="1:72" s="474" customFormat="1" ht="18.75" customHeight="1">
      <c r="A506" s="468">
        <v>4627186342494</v>
      </c>
      <c r="B506" s="375">
        <v>4159</v>
      </c>
      <c r="C506" s="469" t="s">
        <v>2397</v>
      </c>
      <c r="D506" s="841"/>
      <c r="E506" s="470" t="s">
        <v>2361</v>
      </c>
      <c r="F506" s="415"/>
      <c r="G506" s="471"/>
      <c r="H506" s="471"/>
      <c r="I506" s="471"/>
      <c r="J506" s="423">
        <v>25</v>
      </c>
      <c r="K506" s="472">
        <f t="shared" ref="K506:K523" si="397">J506*F506</f>
        <v>0</v>
      </c>
      <c r="L506" s="423">
        <f t="shared" ref="L506:L523" si="398">J506+J506*5%</f>
        <v>26.25</v>
      </c>
      <c r="M506" s="472">
        <f t="shared" ref="M506:M509" si="399">L506*F506</f>
        <v>0</v>
      </c>
      <c r="N506" s="423">
        <f t="shared" ref="N506:N523" si="400">J506+J506*10%</f>
        <v>27.5</v>
      </c>
      <c r="O506" s="472">
        <f t="shared" ref="O506:O509" si="401">N506*F506</f>
        <v>0</v>
      </c>
      <c r="P506" s="423">
        <f t="shared" ref="P506:P523" si="402">J506+J506*15%</f>
        <v>28.75</v>
      </c>
      <c r="Q506" s="472">
        <f t="shared" ref="Q506:Q509" si="403">P506*F506</f>
        <v>0</v>
      </c>
      <c r="R506" s="423">
        <f t="shared" ref="R506:R523" si="404">J506+J506*25%</f>
        <v>31.25</v>
      </c>
      <c r="S506" s="472">
        <f t="shared" ref="S506:S509" si="405">R506*F506</f>
        <v>0</v>
      </c>
      <c r="T506" s="472">
        <v>6</v>
      </c>
      <c r="U506" s="472">
        <f t="shared" ref="U506:U523" si="406">T506*F506</f>
        <v>0</v>
      </c>
      <c r="V506" s="473"/>
      <c r="W506" s="794"/>
      <c r="X506" s="285"/>
      <c r="Y506" s="795">
        <v>6</v>
      </c>
      <c r="Z506" s="221"/>
      <c r="AA506" s="969" t="s">
        <v>2328</v>
      </c>
      <c r="AB506" s="990"/>
      <c r="AC506" s="990"/>
      <c r="AD506" s="991"/>
      <c r="AE506" s="991"/>
      <c r="AF506" s="973"/>
      <c r="AG506" s="973"/>
      <c r="AH506" s="798"/>
      <c r="AI506" s="985"/>
      <c r="AJ506" s="221"/>
      <c r="AK506" s="996"/>
      <c r="AL506" s="446"/>
      <c r="AM506" s="992"/>
      <c r="AN506" s="126"/>
      <c r="AO506" s="126"/>
      <c r="AP506" s="993"/>
      <c r="AQ506" s="997"/>
      <c r="AR506" s="126"/>
      <c r="AS506" s="998"/>
      <c r="AT506" s="285"/>
      <c r="AU506" s="189"/>
      <c r="AV506" s="189"/>
      <c r="AW506" s="189"/>
      <c r="AX506" s="482"/>
      <c r="AY506" s="484"/>
      <c r="AZ506" s="189"/>
      <c r="BA506" s="189"/>
      <c r="BB506" s="189"/>
      <c r="BC506" s="517"/>
      <c r="BD506" s="189"/>
      <c r="BE506" s="4"/>
      <c r="BF506" s="500"/>
      <c r="BG506" s="4"/>
      <c r="BH506" s="4"/>
      <c r="BI506" s="4"/>
      <c r="BJ506" s="4"/>
      <c r="BK506" s="4"/>
      <c r="BL506" s="4"/>
      <c r="BM506" s="4"/>
      <c r="BN506" s="4"/>
      <c r="BO506" s="285"/>
      <c r="BP506" s="285"/>
      <c r="BQ506" s="285"/>
      <c r="BR506" s="285"/>
      <c r="BS506" s="285"/>
      <c r="BT506" s="285"/>
    </row>
    <row r="507" spans="1:72" s="474" customFormat="1" ht="20.25" customHeight="1">
      <c r="A507" s="468">
        <v>4627101827334</v>
      </c>
      <c r="B507" s="375">
        <v>2718</v>
      </c>
      <c r="C507" s="469" t="s">
        <v>2398</v>
      </c>
      <c r="D507" s="834"/>
      <c r="E507" s="422" t="s">
        <v>510</v>
      </c>
      <c r="F507" s="415"/>
      <c r="G507" s="471"/>
      <c r="H507" s="471"/>
      <c r="I507" s="471"/>
      <c r="J507" s="423">
        <v>25</v>
      </c>
      <c r="K507" s="472">
        <f t="shared" si="397"/>
        <v>0</v>
      </c>
      <c r="L507" s="421">
        <f t="shared" si="398"/>
        <v>26.25</v>
      </c>
      <c r="M507" s="472">
        <f t="shared" si="399"/>
        <v>0</v>
      </c>
      <c r="N507" s="421">
        <f t="shared" si="400"/>
        <v>27.5</v>
      </c>
      <c r="O507" s="472">
        <f t="shared" si="401"/>
        <v>0</v>
      </c>
      <c r="P507" s="421">
        <f t="shared" si="402"/>
        <v>28.75</v>
      </c>
      <c r="Q507" s="472">
        <f t="shared" si="403"/>
        <v>0</v>
      </c>
      <c r="R507" s="421">
        <f t="shared" si="404"/>
        <v>31.25</v>
      </c>
      <c r="S507" s="472">
        <f t="shared" si="405"/>
        <v>0</v>
      </c>
      <c r="T507" s="876">
        <v>11</v>
      </c>
      <c r="U507" s="876">
        <f t="shared" si="406"/>
        <v>0</v>
      </c>
      <c r="V507" s="473"/>
      <c r="W507" s="968"/>
      <c r="X507" s="285"/>
      <c r="Y507" s="795">
        <v>6</v>
      </c>
      <c r="Z507" s="221"/>
      <c r="AA507" s="969" t="s">
        <v>2328</v>
      </c>
      <c r="AB507" s="990"/>
      <c r="AC507" s="990"/>
      <c r="AD507" s="991"/>
      <c r="AE507" s="991"/>
      <c r="AF507" s="973"/>
      <c r="AG507" s="973"/>
      <c r="AH507" s="798"/>
      <c r="AI507" s="985"/>
      <c r="AJ507" s="221"/>
      <c r="AK507" s="976"/>
      <c r="AL507" s="551"/>
      <c r="AM507" s="992"/>
      <c r="AN507" s="126"/>
      <c r="AO507" s="126"/>
      <c r="AP507" s="993"/>
      <c r="AQ507" s="979"/>
      <c r="AR507" s="994"/>
      <c r="AS507" s="995"/>
      <c r="AT507" s="285"/>
      <c r="AU507" s="189"/>
      <c r="AV507" s="189"/>
      <c r="AW507" s="189"/>
      <c r="AX507" s="521"/>
      <c r="AY507" s="507"/>
      <c r="AZ507" s="189"/>
      <c r="BA507" s="189"/>
      <c r="BB507" s="189"/>
      <c r="BC507" s="517"/>
      <c r="BD507" s="189"/>
      <c r="BE507" s="4"/>
      <c r="BF507" s="532"/>
      <c r="BG507" s="4"/>
      <c r="BH507" s="4"/>
      <c r="BI507" s="4"/>
      <c r="BJ507" s="4"/>
      <c r="BK507" s="4"/>
      <c r="BL507" s="4"/>
      <c r="BM507" s="4"/>
      <c r="BN507" s="4"/>
      <c r="BO507" s="285"/>
      <c r="BP507" s="285"/>
      <c r="BQ507" s="285"/>
      <c r="BR507" s="285"/>
      <c r="BS507" s="285"/>
      <c r="BT507" s="285"/>
    </row>
    <row r="508" spans="1:72" s="474" customFormat="1" ht="23.25" customHeight="1">
      <c r="A508" s="468">
        <v>4627101827358</v>
      </c>
      <c r="B508" s="375">
        <v>2719</v>
      </c>
      <c r="C508" s="469" t="s">
        <v>2399</v>
      </c>
      <c r="D508" s="834"/>
      <c r="E508" s="422"/>
      <c r="F508" s="415"/>
      <c r="G508" s="471"/>
      <c r="H508" s="471"/>
      <c r="I508" s="471"/>
      <c r="J508" s="423">
        <v>25</v>
      </c>
      <c r="K508" s="472">
        <f t="shared" si="397"/>
        <v>0</v>
      </c>
      <c r="L508" s="421">
        <f t="shared" si="398"/>
        <v>26.25</v>
      </c>
      <c r="M508" s="472">
        <f t="shared" si="399"/>
        <v>0</v>
      </c>
      <c r="N508" s="421">
        <f t="shared" si="400"/>
        <v>27.5</v>
      </c>
      <c r="O508" s="472">
        <f t="shared" si="401"/>
        <v>0</v>
      </c>
      <c r="P508" s="421">
        <f t="shared" si="402"/>
        <v>28.75</v>
      </c>
      <c r="Q508" s="472">
        <f t="shared" si="403"/>
        <v>0</v>
      </c>
      <c r="R508" s="421">
        <f t="shared" si="404"/>
        <v>31.25</v>
      </c>
      <c r="S508" s="472">
        <f t="shared" si="405"/>
        <v>0</v>
      </c>
      <c r="T508" s="876"/>
      <c r="U508" s="876"/>
      <c r="V508" s="473"/>
      <c r="W508" s="968"/>
      <c r="X508" s="285"/>
      <c r="Y508" s="795"/>
      <c r="Z508" s="221"/>
      <c r="AA508" s="969"/>
      <c r="AB508" s="990"/>
      <c r="AC508" s="990"/>
      <c r="AD508" s="991"/>
      <c r="AE508" s="991"/>
      <c r="AF508" s="973"/>
      <c r="AG508" s="973"/>
      <c r="AH508" s="798"/>
      <c r="AI508" s="985"/>
      <c r="AJ508" s="221"/>
      <c r="AK508" s="976"/>
      <c r="AL508" s="551"/>
      <c r="AM508" s="992"/>
      <c r="AN508" s="126"/>
      <c r="AO508" s="126"/>
      <c r="AP508" s="993"/>
      <c r="AQ508" s="979"/>
      <c r="AR508" s="994"/>
      <c r="AS508" s="995"/>
      <c r="AT508" s="285"/>
      <c r="AU508" s="189"/>
      <c r="AV508" s="189"/>
      <c r="AW508" s="189"/>
      <c r="AX508" s="521"/>
      <c r="AY508" s="507"/>
      <c r="AZ508" s="189"/>
      <c r="BA508" s="189"/>
      <c r="BB508" s="189"/>
      <c r="BC508" s="517"/>
      <c r="BD508" s="189"/>
      <c r="BE508" s="4"/>
      <c r="BF508" s="532"/>
      <c r="BG508" s="4"/>
      <c r="BH508" s="4"/>
      <c r="BI508" s="4"/>
      <c r="BJ508" s="4"/>
      <c r="BK508" s="4"/>
      <c r="BL508" s="4"/>
      <c r="BM508" s="4"/>
      <c r="BN508" s="4"/>
      <c r="BO508" s="285"/>
      <c r="BP508" s="285"/>
      <c r="BQ508" s="285"/>
      <c r="BR508" s="285"/>
      <c r="BS508" s="285"/>
      <c r="BT508" s="285"/>
    </row>
    <row r="509" spans="1:72" s="474" customFormat="1" ht="22.5" customHeight="1">
      <c r="A509" s="468">
        <v>4627186344962</v>
      </c>
      <c r="B509" s="375">
        <v>4597</v>
      </c>
      <c r="C509" s="469" t="s">
        <v>2400</v>
      </c>
      <c r="D509" s="834"/>
      <c r="E509" s="422" t="s">
        <v>510</v>
      </c>
      <c r="F509" s="415"/>
      <c r="G509" s="471"/>
      <c r="H509" s="471"/>
      <c r="I509" s="471"/>
      <c r="J509" s="423">
        <v>35</v>
      </c>
      <c r="K509" s="472">
        <f t="shared" si="397"/>
        <v>0</v>
      </c>
      <c r="L509" s="423">
        <f t="shared" si="398"/>
        <v>36.75</v>
      </c>
      <c r="M509" s="472">
        <f t="shared" si="399"/>
        <v>0</v>
      </c>
      <c r="N509" s="423">
        <f t="shared" si="400"/>
        <v>38.5</v>
      </c>
      <c r="O509" s="472">
        <f t="shared" si="401"/>
        <v>0</v>
      </c>
      <c r="P509" s="423">
        <f t="shared" si="402"/>
        <v>40.25</v>
      </c>
      <c r="Q509" s="472">
        <f t="shared" si="403"/>
        <v>0</v>
      </c>
      <c r="R509" s="423">
        <f t="shared" si="404"/>
        <v>43.75</v>
      </c>
      <c r="S509" s="472">
        <f t="shared" si="405"/>
        <v>0</v>
      </c>
      <c r="T509" s="472">
        <v>11</v>
      </c>
      <c r="U509" s="472">
        <f t="shared" si="406"/>
        <v>0</v>
      </c>
      <c r="V509" s="473"/>
      <c r="W509" s="794"/>
      <c r="X509" s="285"/>
      <c r="Y509" s="795">
        <v>9</v>
      </c>
      <c r="Z509" s="221"/>
      <c r="AA509" s="1011" t="s">
        <v>2328</v>
      </c>
      <c r="AB509" s="1012"/>
      <c r="AC509" s="1012"/>
      <c r="AD509" s="1011"/>
      <c r="AE509" s="1011"/>
      <c r="AF509" s="1013"/>
      <c r="AG509" s="1013"/>
      <c r="AH509" s="798"/>
      <c r="AI509" s="985"/>
      <c r="AJ509" s="221"/>
      <c r="AK509" s="996"/>
      <c r="AL509" s="446"/>
      <c r="AM509" s="992"/>
      <c r="AN509" s="126"/>
      <c r="AO509" s="126"/>
      <c r="AP509" s="1014"/>
      <c r="AQ509" s="997"/>
      <c r="AR509" s="126"/>
      <c r="AS509" s="998"/>
      <c r="AT509" s="285"/>
      <c r="AU509" s="189"/>
      <c r="AV509" s="189"/>
      <c r="AW509" s="189"/>
      <c r="AX509" s="521"/>
      <c r="AY509" s="507"/>
      <c r="AZ509" s="189"/>
      <c r="BA509" s="189"/>
      <c r="BB509" s="189"/>
      <c r="BC509" s="517"/>
      <c r="BD509" s="189"/>
      <c r="BE509" s="4"/>
      <c r="BF509" s="532"/>
      <c r="BG509" s="4"/>
      <c r="BH509" s="4"/>
      <c r="BI509" s="4"/>
      <c r="BJ509" s="4"/>
      <c r="BK509" s="4"/>
      <c r="BL509" s="4"/>
      <c r="BM509" s="4"/>
      <c r="BN509" s="4"/>
      <c r="BO509" s="285"/>
      <c r="BP509" s="285"/>
      <c r="BQ509" s="285"/>
      <c r="BR509" s="285"/>
      <c r="BS509" s="285"/>
      <c r="BT509" s="285"/>
    </row>
    <row r="510" spans="1:72" s="285" customFormat="1" ht="21.75" customHeight="1">
      <c r="A510" s="361">
        <v>4627186342500</v>
      </c>
      <c r="B510" s="375">
        <v>2299</v>
      </c>
      <c r="C510" s="999" t="s">
        <v>2401</v>
      </c>
      <c r="D510" s="834"/>
      <c r="E510" s="422" t="s">
        <v>510</v>
      </c>
      <c r="F510" s="415"/>
      <c r="G510" s="1000"/>
      <c r="H510" s="1000"/>
      <c r="I510" s="1001"/>
      <c r="J510" s="423">
        <v>25</v>
      </c>
      <c r="K510" s="472">
        <f t="shared" si="397"/>
        <v>0</v>
      </c>
      <c r="L510" s="421">
        <f t="shared" si="398"/>
        <v>26.25</v>
      </c>
      <c r="M510" s="472">
        <f t="shared" ref="M510:M523" si="407">L510*F510</f>
        <v>0</v>
      </c>
      <c r="N510" s="421">
        <f t="shared" si="400"/>
        <v>27.5</v>
      </c>
      <c r="O510" s="472">
        <f t="shared" ref="O510:O523" si="408">N510*F510</f>
        <v>0</v>
      </c>
      <c r="P510" s="421">
        <f t="shared" si="402"/>
        <v>28.75</v>
      </c>
      <c r="Q510" s="472">
        <f t="shared" ref="Q510:Q523" si="409">P510*F510</f>
        <v>0</v>
      </c>
      <c r="R510" s="421">
        <f t="shared" si="404"/>
        <v>31.25</v>
      </c>
      <c r="S510" s="472">
        <f t="shared" ref="S510:S523" si="410">R510*F510</f>
        <v>0</v>
      </c>
      <c r="T510" s="878">
        <v>11</v>
      </c>
      <c r="U510" s="878">
        <f t="shared" si="406"/>
        <v>0</v>
      </c>
      <c r="V510" s="879"/>
      <c r="W510" s="968"/>
      <c r="Y510" s="795">
        <v>6</v>
      </c>
      <c r="Z510" s="221"/>
      <c r="AA510" s="969" t="s">
        <v>2328</v>
      </c>
      <c r="AB510" s="990"/>
      <c r="AC510" s="990"/>
      <c r="AD510" s="991"/>
      <c r="AE510" s="991"/>
      <c r="AF510" s="973"/>
      <c r="AG510" s="973"/>
      <c r="AH510" s="798"/>
      <c r="AI510" s="985"/>
      <c r="AJ510" s="221"/>
      <c r="AK510" s="976"/>
      <c r="AL510" s="551"/>
      <c r="AM510" s="1002"/>
      <c r="AN510" s="1003"/>
      <c r="AO510" s="1003"/>
      <c r="AP510" s="993"/>
      <c r="AQ510" s="979"/>
      <c r="AR510" s="994"/>
      <c r="AS510" s="995"/>
      <c r="AU510" s="189"/>
      <c r="AV510" s="189"/>
      <c r="AW510" s="189"/>
      <c r="AX510" s="521"/>
      <c r="AY510" s="507"/>
      <c r="AZ510" s="189"/>
      <c r="BA510" s="189"/>
      <c r="BB510" s="189"/>
      <c r="BC510" s="517"/>
      <c r="BD510" s="189"/>
      <c r="BE510" s="4"/>
      <c r="BF510" s="445"/>
      <c r="BG510" s="4"/>
      <c r="BH510" s="4"/>
      <c r="BI510" s="4"/>
      <c r="BJ510" s="4"/>
      <c r="BK510" s="4"/>
      <c r="BL510" s="4"/>
      <c r="BM510" s="4"/>
      <c r="BN510" s="4"/>
    </row>
    <row r="511" spans="1:72" s="285" customFormat="1" ht="21.75" hidden="1" customHeight="1">
      <c r="A511" s="361"/>
      <c r="B511" s="375"/>
      <c r="C511" s="999"/>
      <c r="D511" s="834"/>
      <c r="E511" s="422" t="s">
        <v>222</v>
      </c>
      <c r="F511" s="982"/>
      <c r="G511" s="1000"/>
      <c r="H511" s="1000"/>
      <c r="I511" s="1001"/>
      <c r="J511" s="315"/>
      <c r="K511" s="418"/>
      <c r="L511" s="421"/>
      <c r="M511" s="418"/>
      <c r="N511" s="421"/>
      <c r="O511" s="418"/>
      <c r="P511" s="421"/>
      <c r="Q511" s="418"/>
      <c r="R511" s="421"/>
      <c r="S511" s="472"/>
      <c r="T511" s="878"/>
      <c r="U511" s="878"/>
      <c r="V511" s="879"/>
      <c r="W511" s="968"/>
      <c r="Y511" s="795"/>
      <c r="Z511" s="221"/>
      <c r="AA511" s="969"/>
      <c r="AB511" s="990"/>
      <c r="AC511" s="990"/>
      <c r="AD511" s="991"/>
      <c r="AE511" s="991"/>
      <c r="AF511" s="973"/>
      <c r="AG511" s="973"/>
      <c r="AH511" s="798"/>
      <c r="AI511" s="985"/>
      <c r="AJ511" s="221"/>
      <c r="AK511" s="976"/>
      <c r="AL511" s="551"/>
      <c r="AM511" s="1002"/>
      <c r="AN511" s="1003"/>
      <c r="AO511" s="1003"/>
      <c r="AP511" s="993"/>
      <c r="AQ511" s="979"/>
      <c r="AR511" s="994"/>
      <c r="AS511" s="995"/>
      <c r="AU511" s="189"/>
      <c r="AV511" s="189"/>
      <c r="AW511" s="189"/>
      <c r="AX511" s="521"/>
      <c r="AY511" s="507"/>
      <c r="AZ511" s="189"/>
      <c r="BA511" s="189"/>
      <c r="BB511" s="189"/>
      <c r="BC511" s="517"/>
      <c r="BD511" s="189"/>
      <c r="BE511" s="4"/>
      <c r="BF511" s="445"/>
      <c r="BG511" s="4"/>
      <c r="BH511" s="4"/>
      <c r="BI511" s="4"/>
      <c r="BJ511" s="4"/>
      <c r="BK511" s="4"/>
      <c r="BL511" s="4"/>
      <c r="BM511" s="4"/>
      <c r="BN511" s="4"/>
    </row>
    <row r="512" spans="1:72" s="285" customFormat="1" ht="21.75" customHeight="1">
      <c r="A512" s="361">
        <v>4627101824333</v>
      </c>
      <c r="B512" s="375">
        <v>2375</v>
      </c>
      <c r="C512" s="376" t="s">
        <v>2402</v>
      </c>
      <c r="D512" s="826"/>
      <c r="E512" s="422" t="s">
        <v>222</v>
      </c>
      <c r="F512" s="415"/>
      <c r="G512" s="1000"/>
      <c r="H512" s="1000"/>
      <c r="I512" s="1001"/>
      <c r="J512" s="315">
        <v>40</v>
      </c>
      <c r="K512" s="418">
        <f t="shared" si="397"/>
        <v>0</v>
      </c>
      <c r="L512" s="421">
        <f t="shared" si="398"/>
        <v>42</v>
      </c>
      <c r="M512" s="418">
        <f t="shared" si="407"/>
        <v>0</v>
      </c>
      <c r="N512" s="421">
        <f t="shared" si="400"/>
        <v>44</v>
      </c>
      <c r="O512" s="418">
        <f t="shared" si="408"/>
        <v>0</v>
      </c>
      <c r="P512" s="421">
        <f t="shared" si="402"/>
        <v>46</v>
      </c>
      <c r="Q512" s="418">
        <f t="shared" si="409"/>
        <v>0</v>
      </c>
      <c r="R512" s="421">
        <f t="shared" si="404"/>
        <v>50</v>
      </c>
      <c r="S512" s="418">
        <f t="shared" si="410"/>
        <v>0</v>
      </c>
      <c r="T512" s="878">
        <v>16</v>
      </c>
      <c r="U512" s="878">
        <f t="shared" si="406"/>
        <v>0</v>
      </c>
      <c r="V512" s="879"/>
      <c r="W512" s="968"/>
      <c r="Y512" s="795">
        <v>6</v>
      </c>
      <c r="Z512" s="221"/>
      <c r="AA512" s="969" t="s">
        <v>2328</v>
      </c>
      <c r="AB512" s="990"/>
      <c r="AC512" s="990"/>
      <c r="AD512" s="991"/>
      <c r="AE512" s="991"/>
      <c r="AF512" s="973"/>
      <c r="AG512" s="973"/>
      <c r="AH512" s="798"/>
      <c r="AI512" s="985"/>
      <c r="AJ512" s="221"/>
      <c r="AK512" s="976"/>
      <c r="AL512" s="551"/>
      <c r="AM512" s="1002"/>
      <c r="AN512" s="1003"/>
      <c r="AO512" s="1003"/>
      <c r="AP512" s="993"/>
      <c r="AQ512" s="979"/>
      <c r="AR512" s="994"/>
      <c r="AS512" s="995"/>
      <c r="AU512" s="189"/>
      <c r="AV512" s="189"/>
      <c r="AW512" s="189"/>
      <c r="AX512" s="521"/>
      <c r="AY512" s="507"/>
      <c r="AZ512" s="189"/>
      <c r="BA512" s="189"/>
      <c r="BB512" s="189"/>
      <c r="BC512" s="517"/>
      <c r="BD512" s="189"/>
      <c r="BE512" s="4"/>
      <c r="BF512" s="445"/>
      <c r="BG512" s="4"/>
      <c r="BH512" s="4"/>
      <c r="BI512" s="4"/>
      <c r="BJ512" s="4"/>
      <c r="BK512" s="4"/>
      <c r="BL512" s="4"/>
      <c r="BM512" s="4"/>
      <c r="BN512" s="4"/>
    </row>
    <row r="513" spans="1:66" s="285" customFormat="1" ht="21.75" customHeight="1">
      <c r="A513" s="361">
        <v>4627101824357</v>
      </c>
      <c r="B513" s="375">
        <v>2374</v>
      </c>
      <c r="C513" s="376" t="s">
        <v>2403</v>
      </c>
      <c r="D513" s="826"/>
      <c r="E513" s="422" t="s">
        <v>222</v>
      </c>
      <c r="F513" s="415"/>
      <c r="G513" s="1000"/>
      <c r="H513" s="1000"/>
      <c r="I513" s="1001"/>
      <c r="J513" s="315">
        <v>40</v>
      </c>
      <c r="K513" s="418">
        <f t="shared" si="397"/>
        <v>0</v>
      </c>
      <c r="L513" s="421">
        <f t="shared" si="398"/>
        <v>42</v>
      </c>
      <c r="M513" s="418">
        <f t="shared" si="407"/>
        <v>0</v>
      </c>
      <c r="N513" s="421">
        <f t="shared" si="400"/>
        <v>44</v>
      </c>
      <c r="O513" s="418">
        <f t="shared" si="408"/>
        <v>0</v>
      </c>
      <c r="P513" s="421">
        <f t="shared" si="402"/>
        <v>46</v>
      </c>
      <c r="Q513" s="418">
        <f t="shared" si="409"/>
        <v>0</v>
      </c>
      <c r="R513" s="421">
        <f t="shared" si="404"/>
        <v>50</v>
      </c>
      <c r="S513" s="418">
        <f t="shared" si="410"/>
        <v>0</v>
      </c>
      <c r="T513" s="878">
        <v>16</v>
      </c>
      <c r="U513" s="878">
        <f t="shared" si="406"/>
        <v>0</v>
      </c>
      <c r="V513" s="879"/>
      <c r="W513" s="968"/>
      <c r="Y513" s="795">
        <v>6</v>
      </c>
      <c r="Z513" s="221"/>
      <c r="AA513" s="969" t="s">
        <v>2328</v>
      </c>
      <c r="AB513" s="990"/>
      <c r="AC513" s="990"/>
      <c r="AD513" s="991"/>
      <c r="AE513" s="991"/>
      <c r="AF513" s="973"/>
      <c r="AG513" s="973"/>
      <c r="AH513" s="798"/>
      <c r="AI513" s="985"/>
      <c r="AJ513" s="221"/>
      <c r="AK513" s="976"/>
      <c r="AL513" s="551"/>
      <c r="AM513" s="1002"/>
      <c r="AN513" s="1003"/>
      <c r="AO513" s="1003"/>
      <c r="AP513" s="993"/>
      <c r="AQ513" s="979"/>
      <c r="AR513" s="994"/>
      <c r="AS513" s="995"/>
      <c r="AU513" s="189"/>
      <c r="AV513" s="189"/>
      <c r="AW513" s="189"/>
      <c r="AX513" s="521"/>
      <c r="AY513" s="507"/>
      <c r="AZ513" s="189"/>
      <c r="BA513" s="189"/>
      <c r="BB513" s="189"/>
      <c r="BC513" s="517"/>
      <c r="BD513" s="189"/>
      <c r="BE513" s="4"/>
      <c r="BF513" s="445"/>
      <c r="BG513" s="4"/>
      <c r="BH513" s="4"/>
      <c r="BI513" s="4"/>
      <c r="BJ513" s="4"/>
      <c r="BK513" s="4"/>
      <c r="BL513" s="4"/>
      <c r="BM513" s="4"/>
      <c r="BN513" s="4"/>
    </row>
    <row r="514" spans="1:66" s="285" customFormat="1" ht="21.75" hidden="1" customHeight="1">
      <c r="A514" s="361"/>
      <c r="B514" s="375"/>
      <c r="C514" s="376"/>
      <c r="D514" s="826"/>
      <c r="E514" s="422" t="s">
        <v>222</v>
      </c>
      <c r="F514" s="982"/>
      <c r="G514" s="1000"/>
      <c r="H514" s="1000"/>
      <c r="I514" s="1001"/>
      <c r="J514" s="315"/>
      <c r="K514" s="418"/>
      <c r="L514" s="421"/>
      <c r="M514" s="418"/>
      <c r="N514" s="421"/>
      <c r="O514" s="418"/>
      <c r="P514" s="421"/>
      <c r="Q514" s="418"/>
      <c r="R514" s="421"/>
      <c r="S514" s="472"/>
      <c r="T514" s="878"/>
      <c r="U514" s="878"/>
      <c r="V514" s="879"/>
      <c r="W514" s="968"/>
      <c r="Y514" s="795"/>
      <c r="Z514" s="221"/>
      <c r="AA514" s="969"/>
      <c r="AB514" s="990"/>
      <c r="AC514" s="990"/>
      <c r="AD514" s="991"/>
      <c r="AE514" s="991"/>
      <c r="AF514" s="973"/>
      <c r="AG514" s="973"/>
      <c r="AH514" s="798"/>
      <c r="AI514" s="985"/>
      <c r="AJ514" s="221"/>
      <c r="AK514" s="976"/>
      <c r="AL514" s="551"/>
      <c r="AM514" s="1002"/>
      <c r="AN514" s="1003"/>
      <c r="AO514" s="1003"/>
      <c r="AP514" s="993"/>
      <c r="AQ514" s="979"/>
      <c r="AR514" s="994"/>
      <c r="AS514" s="995"/>
      <c r="AU514" s="189"/>
      <c r="AV514" s="189"/>
      <c r="AW514" s="189"/>
      <c r="AX514" s="521"/>
      <c r="AY514" s="507"/>
      <c r="AZ514" s="189"/>
      <c r="BA514" s="189"/>
      <c r="BB514" s="189"/>
      <c r="BC514" s="517"/>
      <c r="BD514" s="189"/>
      <c r="BE514" s="4"/>
      <c r="BF514" s="445"/>
      <c r="BG514" s="4"/>
      <c r="BH514" s="4"/>
      <c r="BI514" s="4"/>
      <c r="BJ514" s="4"/>
      <c r="BK514" s="4"/>
      <c r="BL514" s="4"/>
      <c r="BM514" s="4"/>
      <c r="BN514" s="4"/>
    </row>
    <row r="515" spans="1:66" s="285" customFormat="1" ht="21.75" customHeight="1">
      <c r="A515" s="361">
        <v>4627101829369</v>
      </c>
      <c r="B515" s="375">
        <v>3182</v>
      </c>
      <c r="C515" s="999" t="s">
        <v>2404</v>
      </c>
      <c r="D515" s="834"/>
      <c r="E515" s="422" t="s">
        <v>2361</v>
      </c>
      <c r="F515" s="415"/>
      <c r="G515" s="1000"/>
      <c r="H515" s="1000"/>
      <c r="I515" s="1001"/>
      <c r="J515" s="315">
        <v>20</v>
      </c>
      <c r="K515" s="418">
        <f t="shared" si="397"/>
        <v>0</v>
      </c>
      <c r="L515" s="421">
        <f t="shared" si="398"/>
        <v>21</v>
      </c>
      <c r="M515" s="418">
        <f t="shared" si="407"/>
        <v>0</v>
      </c>
      <c r="N515" s="421">
        <f t="shared" si="400"/>
        <v>22</v>
      </c>
      <c r="O515" s="418">
        <f t="shared" si="408"/>
        <v>0</v>
      </c>
      <c r="P515" s="421">
        <f t="shared" si="402"/>
        <v>23</v>
      </c>
      <c r="Q515" s="418">
        <f t="shared" si="409"/>
        <v>0</v>
      </c>
      <c r="R515" s="421">
        <f t="shared" si="404"/>
        <v>25</v>
      </c>
      <c r="S515" s="418">
        <f t="shared" si="410"/>
        <v>0</v>
      </c>
      <c r="T515" s="878">
        <v>6</v>
      </c>
      <c r="U515" s="878">
        <f t="shared" si="406"/>
        <v>0</v>
      </c>
      <c r="V515" s="879"/>
      <c r="W515" s="968"/>
      <c r="Y515" s="795">
        <v>6</v>
      </c>
      <c r="Z515" s="221"/>
      <c r="AA515" s="969" t="s">
        <v>2328</v>
      </c>
      <c r="AB515" s="990"/>
      <c r="AC515" s="990"/>
      <c r="AD515" s="991"/>
      <c r="AE515" s="991"/>
      <c r="AF515" s="973"/>
      <c r="AG515" s="973"/>
      <c r="AH515" s="798"/>
      <c r="AI515" s="985"/>
      <c r="AJ515" s="221"/>
      <c r="AK515" s="976"/>
      <c r="AL515" s="551"/>
      <c r="AM515" s="1002"/>
      <c r="AN515" s="1003"/>
      <c r="AO515" s="1003"/>
      <c r="AP515" s="993"/>
      <c r="AQ515" s="979"/>
      <c r="AR515" s="994"/>
      <c r="AS515" s="995"/>
      <c r="AU515" s="189"/>
      <c r="AV515" s="189"/>
      <c r="AW515" s="189"/>
      <c r="AX515" s="521"/>
      <c r="AY515" s="507"/>
      <c r="AZ515" s="189"/>
      <c r="BA515" s="189"/>
      <c r="BB515" s="189"/>
      <c r="BC515" s="517"/>
      <c r="BD515" s="189"/>
      <c r="BE515" s="4"/>
      <c r="BF515" s="445"/>
      <c r="BG515" s="4"/>
      <c r="BH515" s="4"/>
      <c r="BI515" s="4"/>
      <c r="BJ515" s="4"/>
      <c r="BK515" s="4"/>
      <c r="BL515" s="4"/>
      <c r="BM515" s="4"/>
      <c r="BN515" s="4"/>
    </row>
    <row r="516" spans="1:66" s="285" customFormat="1" ht="20.25" customHeight="1">
      <c r="A516" s="361">
        <v>4627101829376</v>
      </c>
      <c r="B516" s="375">
        <v>3183</v>
      </c>
      <c r="C516" s="999" t="s">
        <v>2405</v>
      </c>
      <c r="D516" s="834"/>
      <c r="E516" s="422" t="s">
        <v>2361</v>
      </c>
      <c r="F516" s="415"/>
      <c r="G516" s="1000"/>
      <c r="H516" s="1000"/>
      <c r="I516" s="1001"/>
      <c r="J516" s="315">
        <v>20</v>
      </c>
      <c r="K516" s="418">
        <f t="shared" si="397"/>
        <v>0</v>
      </c>
      <c r="L516" s="421">
        <f t="shared" si="398"/>
        <v>21</v>
      </c>
      <c r="M516" s="418">
        <f t="shared" si="407"/>
        <v>0</v>
      </c>
      <c r="N516" s="421">
        <f t="shared" si="400"/>
        <v>22</v>
      </c>
      <c r="O516" s="418">
        <f t="shared" si="408"/>
        <v>0</v>
      </c>
      <c r="P516" s="421">
        <f t="shared" si="402"/>
        <v>23</v>
      </c>
      <c r="Q516" s="418">
        <f t="shared" si="409"/>
        <v>0</v>
      </c>
      <c r="R516" s="421">
        <f t="shared" si="404"/>
        <v>25</v>
      </c>
      <c r="S516" s="418">
        <f t="shared" si="410"/>
        <v>0</v>
      </c>
      <c r="T516" s="878">
        <v>6</v>
      </c>
      <c r="U516" s="878">
        <f t="shared" si="406"/>
        <v>0</v>
      </c>
      <c r="V516" s="879"/>
      <c r="W516" s="968"/>
      <c r="Y516" s="795">
        <v>6</v>
      </c>
      <c r="Z516" s="221"/>
      <c r="AA516" s="969" t="s">
        <v>2328</v>
      </c>
      <c r="AB516" s="990"/>
      <c r="AC516" s="990"/>
      <c r="AD516" s="991"/>
      <c r="AE516" s="991"/>
      <c r="AF516" s="973"/>
      <c r="AG516" s="973"/>
      <c r="AH516" s="798"/>
      <c r="AI516" s="985"/>
      <c r="AJ516" s="221"/>
      <c r="AK516" s="976"/>
      <c r="AL516" s="551"/>
      <c r="AM516" s="1002"/>
      <c r="AN516" s="1003"/>
      <c r="AO516" s="1003"/>
      <c r="AP516" s="993"/>
      <c r="AQ516" s="979"/>
      <c r="AR516" s="994"/>
      <c r="AS516" s="995"/>
      <c r="AU516" s="189"/>
      <c r="AV516" s="189"/>
      <c r="AW516" s="189"/>
      <c r="AX516" s="521"/>
      <c r="AY516" s="507"/>
      <c r="AZ516" s="189"/>
      <c r="BA516" s="189"/>
      <c r="BB516" s="189"/>
      <c r="BC516" s="517"/>
      <c r="BD516" s="189"/>
      <c r="BE516" s="4"/>
      <c r="BF516" s="445"/>
      <c r="BG516" s="4"/>
      <c r="BH516" s="4"/>
      <c r="BI516" s="4"/>
      <c r="BJ516" s="4"/>
      <c r="BK516" s="4"/>
      <c r="BL516" s="4"/>
      <c r="BM516" s="4"/>
      <c r="BN516" s="4"/>
    </row>
    <row r="517" spans="1:66" s="285" customFormat="1" ht="20.25" customHeight="1">
      <c r="A517" s="361">
        <v>4627186344245</v>
      </c>
      <c r="B517" s="375">
        <v>4460</v>
      </c>
      <c r="C517" s="999" t="s">
        <v>2406</v>
      </c>
      <c r="D517" s="834"/>
      <c r="E517" s="422"/>
      <c r="F517" s="415"/>
      <c r="G517" s="1000"/>
      <c r="H517" s="1000"/>
      <c r="I517" s="1001"/>
      <c r="J517" s="315">
        <v>15</v>
      </c>
      <c r="K517" s="418">
        <f>J517*F517</f>
        <v>0</v>
      </c>
      <c r="L517" s="421">
        <f t="shared" si="398"/>
        <v>15.75</v>
      </c>
      <c r="M517" s="418">
        <f>L517*F517</f>
        <v>0</v>
      </c>
      <c r="N517" s="421">
        <f t="shared" si="400"/>
        <v>16.5</v>
      </c>
      <c r="O517" s="418">
        <f>N517*F517</f>
        <v>0</v>
      </c>
      <c r="P517" s="421">
        <f t="shared" si="402"/>
        <v>17.25</v>
      </c>
      <c r="Q517" s="418">
        <f>P517*F517</f>
        <v>0</v>
      </c>
      <c r="R517" s="421">
        <f t="shared" si="404"/>
        <v>18.75</v>
      </c>
      <c r="S517" s="418">
        <f>R517*F517</f>
        <v>0</v>
      </c>
      <c r="T517" s="878">
        <v>9</v>
      </c>
      <c r="U517" s="878">
        <f t="shared" si="406"/>
        <v>0</v>
      </c>
      <c r="V517" s="879"/>
      <c r="W517" s="968"/>
      <c r="Y517" s="795"/>
      <c r="Z517" s="221"/>
      <c r="AA517" s="969"/>
      <c r="AB517" s="990"/>
      <c r="AC517" s="990"/>
      <c r="AD517" s="991"/>
      <c r="AE517" s="991"/>
      <c r="AF517" s="973"/>
      <c r="AG517" s="973"/>
      <c r="AH517" s="798"/>
      <c r="AI517" s="985"/>
      <c r="AJ517" s="221"/>
      <c r="AK517" s="976"/>
      <c r="AL517" s="551"/>
      <c r="AM517" s="1002"/>
      <c r="AN517" s="1003"/>
      <c r="AO517" s="1003"/>
      <c r="AP517" s="993"/>
      <c r="AQ517" s="979"/>
      <c r="AR517" s="994"/>
      <c r="AS517" s="995"/>
      <c r="AU517" s="189"/>
      <c r="AV517" s="189"/>
      <c r="AW517" s="189"/>
      <c r="AX517" s="521"/>
      <c r="AY517" s="507"/>
      <c r="AZ517" s="189"/>
      <c r="BA517" s="189"/>
      <c r="BB517" s="189"/>
      <c r="BC517" s="517"/>
      <c r="BD517" s="189"/>
      <c r="BE517" s="4"/>
      <c r="BF517" s="445"/>
      <c r="BG517" s="4"/>
      <c r="BH517" s="4"/>
      <c r="BI517" s="4"/>
      <c r="BJ517" s="4"/>
      <c r="BK517" s="4"/>
      <c r="BL517" s="4"/>
      <c r="BM517" s="4"/>
      <c r="BN517" s="4"/>
    </row>
    <row r="518" spans="1:66" s="285" customFormat="1" ht="20.25" customHeight="1">
      <c r="A518" s="361">
        <v>4627186344122</v>
      </c>
      <c r="B518" s="375">
        <v>4459</v>
      </c>
      <c r="C518" s="999" t="s">
        <v>2407</v>
      </c>
      <c r="D518" s="834"/>
      <c r="E518" s="422"/>
      <c r="F518" s="415"/>
      <c r="G518" s="1000"/>
      <c r="H518" s="1000"/>
      <c r="I518" s="1001"/>
      <c r="J518" s="315">
        <v>15</v>
      </c>
      <c r="K518" s="418">
        <f>J518*F518</f>
        <v>0</v>
      </c>
      <c r="L518" s="421">
        <f t="shared" si="398"/>
        <v>15.75</v>
      </c>
      <c r="M518" s="418">
        <f>L518*F518</f>
        <v>0</v>
      </c>
      <c r="N518" s="421">
        <f t="shared" si="400"/>
        <v>16.5</v>
      </c>
      <c r="O518" s="418">
        <f>N518*F518</f>
        <v>0</v>
      </c>
      <c r="P518" s="421">
        <f t="shared" si="402"/>
        <v>17.25</v>
      </c>
      <c r="Q518" s="418">
        <f>P518*F518</f>
        <v>0</v>
      </c>
      <c r="R518" s="421">
        <f t="shared" si="404"/>
        <v>18.75</v>
      </c>
      <c r="S518" s="418">
        <f>R518*F518</f>
        <v>0</v>
      </c>
      <c r="T518" s="878">
        <v>9</v>
      </c>
      <c r="U518" s="878">
        <f t="shared" si="406"/>
        <v>0</v>
      </c>
      <c r="V518" s="879"/>
      <c r="W518" s="968"/>
      <c r="Y518" s="795"/>
      <c r="Z518" s="221"/>
      <c r="AA518" s="969"/>
      <c r="AB518" s="990"/>
      <c r="AC518" s="990"/>
      <c r="AD518" s="991"/>
      <c r="AE518" s="991"/>
      <c r="AF518" s="973"/>
      <c r="AG518" s="973"/>
      <c r="AH518" s="798"/>
      <c r="AI518" s="985"/>
      <c r="AJ518" s="221"/>
      <c r="AK518" s="976"/>
      <c r="AL518" s="551"/>
      <c r="AM518" s="1002"/>
      <c r="AN518" s="1003"/>
      <c r="AO518" s="1003"/>
      <c r="AP518" s="993"/>
      <c r="AQ518" s="979"/>
      <c r="AR518" s="994"/>
      <c r="AS518" s="995"/>
      <c r="AU518" s="189"/>
      <c r="AV518" s="189"/>
      <c r="AW518" s="189"/>
      <c r="AX518" s="521"/>
      <c r="AY518" s="507"/>
      <c r="AZ518" s="189"/>
      <c r="BA518" s="189"/>
      <c r="BB518" s="189"/>
      <c r="BC518" s="517"/>
      <c r="BD518" s="189"/>
      <c r="BE518" s="4"/>
      <c r="BF518" s="445"/>
      <c r="BG518" s="4"/>
      <c r="BH518" s="4"/>
      <c r="BI518" s="4"/>
      <c r="BJ518" s="4"/>
      <c r="BK518" s="4"/>
      <c r="BL518" s="4"/>
      <c r="BM518" s="4"/>
      <c r="BN518" s="4"/>
    </row>
    <row r="519" spans="1:66" s="285" customFormat="1" ht="20.25" customHeight="1">
      <c r="A519" s="361">
        <v>4627186344139</v>
      </c>
      <c r="B519" s="375">
        <v>4455</v>
      </c>
      <c r="C519" s="999" t="s">
        <v>2408</v>
      </c>
      <c r="D519" s="834"/>
      <c r="E519" s="422" t="s">
        <v>510</v>
      </c>
      <c r="F519" s="415"/>
      <c r="G519" s="1000"/>
      <c r="H519" s="1000"/>
      <c r="I519" s="1001"/>
      <c r="J519" s="315">
        <v>15</v>
      </c>
      <c r="K519" s="418">
        <f t="shared" si="397"/>
        <v>0</v>
      </c>
      <c r="L519" s="421">
        <f t="shared" si="398"/>
        <v>15.75</v>
      </c>
      <c r="M519" s="418">
        <f t="shared" si="407"/>
        <v>0</v>
      </c>
      <c r="N519" s="421">
        <f t="shared" si="400"/>
        <v>16.5</v>
      </c>
      <c r="O519" s="418">
        <f t="shared" si="408"/>
        <v>0</v>
      </c>
      <c r="P519" s="421">
        <f t="shared" si="402"/>
        <v>17.25</v>
      </c>
      <c r="Q519" s="418">
        <f t="shared" si="409"/>
        <v>0</v>
      </c>
      <c r="R519" s="421">
        <f t="shared" si="404"/>
        <v>18.75</v>
      </c>
      <c r="S519" s="418">
        <f t="shared" si="410"/>
        <v>0</v>
      </c>
      <c r="T519" s="878">
        <v>9</v>
      </c>
      <c r="U519" s="878">
        <f t="shared" si="406"/>
        <v>0</v>
      </c>
      <c r="V519" s="879"/>
      <c r="W519" s="968"/>
      <c r="Y519" s="795">
        <v>12</v>
      </c>
      <c r="Z519" s="221"/>
      <c r="AA519" s="969" t="s">
        <v>2328</v>
      </c>
      <c r="AB519" s="990"/>
      <c r="AC519" s="990"/>
      <c r="AD519" s="991"/>
      <c r="AE519" s="991"/>
      <c r="AF519" s="973"/>
      <c r="AG519" s="973"/>
      <c r="AH519" s="798"/>
      <c r="AI519" s="985"/>
      <c r="AJ519" s="221"/>
      <c r="AK519" s="976"/>
      <c r="AL519" s="551"/>
      <c r="AM519" s="1002"/>
      <c r="AN519" s="1003"/>
      <c r="AO519" s="1003"/>
      <c r="AP519" s="993"/>
      <c r="AQ519" s="979"/>
      <c r="AR519" s="994"/>
      <c r="AS519" s="995"/>
      <c r="AU519" s="189"/>
      <c r="AV519" s="189"/>
      <c r="AW519" s="189"/>
      <c r="AX519" s="521"/>
      <c r="AY519" s="507"/>
      <c r="AZ519" s="189"/>
      <c r="BA519" s="189"/>
      <c r="BB519" s="189"/>
      <c r="BC519" s="517"/>
      <c r="BD519" s="189"/>
      <c r="BE519" s="4"/>
      <c r="BF519" s="445"/>
      <c r="BG519" s="4"/>
      <c r="BH519" s="4"/>
      <c r="BI519" s="4"/>
      <c r="BJ519" s="4"/>
      <c r="BK519" s="4"/>
      <c r="BL519" s="4"/>
      <c r="BM519" s="4"/>
      <c r="BN519" s="4"/>
    </row>
    <row r="520" spans="1:66" s="285" customFormat="1" ht="20.25" customHeight="1">
      <c r="A520" s="361">
        <v>4627186344146</v>
      </c>
      <c r="B520" s="375">
        <v>4456</v>
      </c>
      <c r="C520" s="999" t="s">
        <v>2409</v>
      </c>
      <c r="D520" s="834"/>
      <c r="E520" s="422" t="s">
        <v>510</v>
      </c>
      <c r="F520" s="415"/>
      <c r="G520" s="1000"/>
      <c r="H520" s="1000"/>
      <c r="I520" s="1001"/>
      <c r="J520" s="315">
        <v>15</v>
      </c>
      <c r="K520" s="418">
        <f t="shared" si="397"/>
        <v>0</v>
      </c>
      <c r="L520" s="421">
        <f t="shared" si="398"/>
        <v>15.75</v>
      </c>
      <c r="M520" s="418">
        <f t="shared" si="407"/>
        <v>0</v>
      </c>
      <c r="N520" s="421">
        <f t="shared" si="400"/>
        <v>16.5</v>
      </c>
      <c r="O520" s="418">
        <f t="shared" si="408"/>
        <v>0</v>
      </c>
      <c r="P520" s="421">
        <f t="shared" si="402"/>
        <v>17.25</v>
      </c>
      <c r="Q520" s="418">
        <f t="shared" si="409"/>
        <v>0</v>
      </c>
      <c r="R520" s="421">
        <f t="shared" si="404"/>
        <v>18.75</v>
      </c>
      <c r="S520" s="418">
        <f t="shared" si="410"/>
        <v>0</v>
      </c>
      <c r="T520" s="878">
        <v>9</v>
      </c>
      <c r="U520" s="878">
        <f t="shared" si="406"/>
        <v>0</v>
      </c>
      <c r="V520" s="879"/>
      <c r="W520" s="968"/>
      <c r="Y520" s="795">
        <v>12</v>
      </c>
      <c r="Z520" s="221"/>
      <c r="AA520" s="969" t="s">
        <v>2328</v>
      </c>
      <c r="AB520" s="990"/>
      <c r="AC520" s="990"/>
      <c r="AD520" s="991"/>
      <c r="AE520" s="991"/>
      <c r="AF520" s="973"/>
      <c r="AG520" s="973"/>
      <c r="AH520" s="798"/>
      <c r="AI520" s="985"/>
      <c r="AJ520" s="221"/>
      <c r="AK520" s="976"/>
      <c r="AL520" s="551"/>
      <c r="AM520" s="1002"/>
      <c r="AN520" s="1003"/>
      <c r="AO520" s="1003"/>
      <c r="AP520" s="993"/>
      <c r="AQ520" s="979"/>
      <c r="AR520" s="994"/>
      <c r="AS520" s="995"/>
      <c r="AU520" s="189"/>
      <c r="AV520" s="189"/>
      <c r="AW520" s="189"/>
      <c r="AX520" s="521"/>
      <c r="AY520" s="507"/>
      <c r="AZ520" s="189"/>
      <c r="BA520" s="189"/>
      <c r="BB520" s="189"/>
      <c r="BC520" s="517"/>
      <c r="BD520" s="189"/>
      <c r="BE520" s="4"/>
      <c r="BF520" s="445"/>
      <c r="BG520" s="4"/>
      <c r="BH520" s="4"/>
      <c r="BI520" s="4"/>
      <c r="BJ520" s="4"/>
      <c r="BK520" s="4"/>
      <c r="BL520" s="4"/>
      <c r="BM520" s="4"/>
      <c r="BN520" s="4"/>
    </row>
    <row r="521" spans="1:66" s="285" customFormat="1" ht="21" customHeight="1">
      <c r="A521" s="361">
        <v>4627186345259</v>
      </c>
      <c r="B521" s="375">
        <v>4649</v>
      </c>
      <c r="C521" s="999" t="s">
        <v>2410</v>
      </c>
      <c r="D521" s="834"/>
      <c r="E521" s="424" t="s">
        <v>222</v>
      </c>
      <c r="F521" s="415"/>
      <c r="G521" s="1000"/>
      <c r="H521" s="1000"/>
      <c r="I521" s="1001"/>
      <c r="J521" s="315">
        <v>15</v>
      </c>
      <c r="K521" s="418">
        <f t="shared" si="397"/>
        <v>0</v>
      </c>
      <c r="L521" s="421">
        <f t="shared" si="398"/>
        <v>15.75</v>
      </c>
      <c r="M521" s="418">
        <f t="shared" si="407"/>
        <v>0</v>
      </c>
      <c r="N521" s="421">
        <f t="shared" si="400"/>
        <v>16.5</v>
      </c>
      <c r="O521" s="418">
        <f t="shared" si="408"/>
        <v>0</v>
      </c>
      <c r="P521" s="421">
        <f t="shared" si="402"/>
        <v>17.25</v>
      </c>
      <c r="Q521" s="418">
        <f t="shared" si="409"/>
        <v>0</v>
      </c>
      <c r="R521" s="421">
        <f t="shared" si="404"/>
        <v>18.75</v>
      </c>
      <c r="S521" s="418">
        <f t="shared" si="410"/>
        <v>0</v>
      </c>
      <c r="T521" s="878">
        <v>16</v>
      </c>
      <c r="U521" s="878">
        <f t="shared" si="406"/>
        <v>0</v>
      </c>
      <c r="V521" s="879"/>
      <c r="W521" s="968"/>
      <c r="Y521" s="795">
        <v>12</v>
      </c>
      <c r="Z521" s="221"/>
      <c r="AA521" s="969" t="s">
        <v>2328</v>
      </c>
      <c r="AB521" s="990"/>
      <c r="AC521" s="990"/>
      <c r="AD521" s="991"/>
      <c r="AE521" s="991"/>
      <c r="AF521" s="973"/>
      <c r="AG521" s="973"/>
      <c r="AH521" s="798"/>
      <c r="AI521" s="985"/>
      <c r="AJ521" s="221"/>
      <c r="AK521" s="976"/>
      <c r="AL521" s="551"/>
      <c r="AM521" s="1002"/>
      <c r="AN521" s="1003"/>
      <c r="AO521" s="1003"/>
      <c r="AP521" s="993"/>
      <c r="AQ521" s="979"/>
      <c r="AR521" s="994"/>
      <c r="AS521" s="995"/>
      <c r="AU521" s="189"/>
      <c r="AV521" s="189"/>
      <c r="AW521" s="189"/>
      <c r="AX521" s="521"/>
      <c r="AY521" s="507"/>
      <c r="AZ521" s="189"/>
      <c r="BA521" s="189"/>
      <c r="BB521" s="189"/>
      <c r="BC521" s="517"/>
      <c r="BD521" s="189"/>
      <c r="BE521" s="4"/>
      <c r="BF521" s="445"/>
      <c r="BG521" s="4"/>
      <c r="BH521" s="4"/>
      <c r="BI521" s="4"/>
      <c r="BJ521" s="4"/>
      <c r="BK521" s="4"/>
      <c r="BL521" s="4"/>
      <c r="BM521" s="4"/>
      <c r="BN521" s="4"/>
    </row>
    <row r="522" spans="1:66" s="285" customFormat="1" ht="19.5" customHeight="1">
      <c r="A522" s="361">
        <v>4627186344153</v>
      </c>
      <c r="B522" s="375">
        <v>4457</v>
      </c>
      <c r="C522" s="999" t="s">
        <v>2411</v>
      </c>
      <c r="D522" s="834"/>
      <c r="E522" s="424" t="s">
        <v>510</v>
      </c>
      <c r="F522" s="415"/>
      <c r="G522" s="1000"/>
      <c r="H522" s="1000"/>
      <c r="I522" s="1001"/>
      <c r="J522" s="315">
        <v>15</v>
      </c>
      <c r="K522" s="418">
        <f t="shared" si="397"/>
        <v>0</v>
      </c>
      <c r="L522" s="421">
        <f t="shared" si="398"/>
        <v>15.75</v>
      </c>
      <c r="M522" s="418">
        <f t="shared" si="407"/>
        <v>0</v>
      </c>
      <c r="N522" s="421">
        <f t="shared" si="400"/>
        <v>16.5</v>
      </c>
      <c r="O522" s="418">
        <f t="shared" si="408"/>
        <v>0</v>
      </c>
      <c r="P522" s="421">
        <f t="shared" si="402"/>
        <v>17.25</v>
      </c>
      <c r="Q522" s="418">
        <f t="shared" si="409"/>
        <v>0</v>
      </c>
      <c r="R522" s="421">
        <f t="shared" si="404"/>
        <v>18.75</v>
      </c>
      <c r="S522" s="418">
        <f t="shared" si="410"/>
        <v>0</v>
      </c>
      <c r="T522" s="878">
        <v>9</v>
      </c>
      <c r="U522" s="878">
        <f t="shared" si="406"/>
        <v>0</v>
      </c>
      <c r="V522" s="879"/>
      <c r="W522" s="968"/>
      <c r="Y522" s="795">
        <v>12</v>
      </c>
      <c r="Z522" s="221"/>
      <c r="AA522" s="969" t="s">
        <v>2328</v>
      </c>
      <c r="AB522" s="990"/>
      <c r="AC522" s="990"/>
      <c r="AD522" s="991"/>
      <c r="AE522" s="991"/>
      <c r="AF522" s="973"/>
      <c r="AG522" s="973"/>
      <c r="AH522" s="798"/>
      <c r="AI522" s="985"/>
      <c r="AJ522" s="221"/>
      <c r="AK522" s="976"/>
      <c r="AL522" s="551"/>
      <c r="AM522" s="1002"/>
      <c r="AN522" s="1003"/>
      <c r="AO522" s="1003"/>
      <c r="AP522" s="993"/>
      <c r="AQ522" s="979"/>
      <c r="AR522" s="994"/>
      <c r="AS522" s="995"/>
      <c r="AU522" s="189"/>
      <c r="AV522" s="189"/>
      <c r="AW522" s="189"/>
      <c r="AX522" s="521"/>
      <c r="AY522" s="507"/>
      <c r="AZ522" s="189"/>
      <c r="BA522" s="189"/>
      <c r="BB522" s="189"/>
      <c r="BC522" s="517"/>
      <c r="BD522" s="189"/>
      <c r="BE522" s="4"/>
      <c r="BF522" s="445"/>
      <c r="BG522" s="4"/>
      <c r="BH522" s="4"/>
      <c r="BI522" s="4"/>
      <c r="BJ522" s="4"/>
      <c r="BK522" s="4"/>
      <c r="BL522" s="4"/>
      <c r="BM522" s="4"/>
      <c r="BN522" s="4"/>
    </row>
    <row r="523" spans="1:66" s="285" customFormat="1" ht="21" customHeight="1">
      <c r="A523" s="361">
        <v>4627186344160</v>
      </c>
      <c r="B523" s="375">
        <v>4458</v>
      </c>
      <c r="C523" s="999" t="s">
        <v>2412</v>
      </c>
      <c r="D523" s="834"/>
      <c r="E523" s="422" t="s">
        <v>510</v>
      </c>
      <c r="F523" s="415"/>
      <c r="G523" s="1000"/>
      <c r="H523" s="1000"/>
      <c r="I523" s="1001"/>
      <c r="J523" s="315">
        <v>15</v>
      </c>
      <c r="K523" s="418">
        <f t="shared" si="397"/>
        <v>0</v>
      </c>
      <c r="L523" s="421">
        <f t="shared" si="398"/>
        <v>15.75</v>
      </c>
      <c r="M523" s="418">
        <f t="shared" si="407"/>
        <v>0</v>
      </c>
      <c r="N523" s="421">
        <f t="shared" si="400"/>
        <v>16.5</v>
      </c>
      <c r="O523" s="418">
        <f t="shared" si="408"/>
        <v>0</v>
      </c>
      <c r="P523" s="421">
        <f t="shared" si="402"/>
        <v>17.25</v>
      </c>
      <c r="Q523" s="418">
        <f t="shared" si="409"/>
        <v>0</v>
      </c>
      <c r="R523" s="421">
        <f t="shared" si="404"/>
        <v>18.75</v>
      </c>
      <c r="S523" s="418">
        <f t="shared" si="410"/>
        <v>0</v>
      </c>
      <c r="T523" s="878">
        <v>9</v>
      </c>
      <c r="U523" s="878">
        <f t="shared" si="406"/>
        <v>0</v>
      </c>
      <c r="V523" s="879"/>
      <c r="W523" s="968"/>
      <c r="Y523" s="795">
        <v>12</v>
      </c>
      <c r="Z523" s="221"/>
      <c r="AA523" s="969" t="s">
        <v>2328</v>
      </c>
      <c r="AB523" s="990"/>
      <c r="AC523" s="990"/>
      <c r="AD523" s="991"/>
      <c r="AE523" s="991"/>
      <c r="AF523" s="973"/>
      <c r="AG523" s="973"/>
      <c r="AH523" s="798"/>
      <c r="AI523" s="985"/>
      <c r="AJ523" s="221"/>
      <c r="AK523" s="976"/>
      <c r="AL523" s="551"/>
      <c r="AM523" s="1002"/>
      <c r="AN523" s="1003"/>
      <c r="AO523" s="1003"/>
      <c r="AP523" s="993"/>
      <c r="AQ523" s="979"/>
      <c r="AR523" s="994"/>
      <c r="AS523" s="995"/>
      <c r="AU523" s="189"/>
      <c r="AV523" s="189"/>
      <c r="AW523" s="189"/>
      <c r="AX523" s="521"/>
      <c r="AY523" s="507"/>
      <c r="AZ523" s="189"/>
      <c r="BA523" s="189"/>
      <c r="BB523" s="189"/>
      <c r="BC523" s="517"/>
      <c r="BD523" s="189"/>
      <c r="BE523" s="4"/>
      <c r="BF523" s="445"/>
      <c r="BG523" s="4"/>
      <c r="BH523" s="4"/>
      <c r="BI523" s="4"/>
      <c r="BJ523" s="4"/>
      <c r="BK523" s="4"/>
      <c r="BL523" s="4"/>
      <c r="BM523" s="4"/>
      <c r="BN523" s="4"/>
    </row>
    <row r="524" spans="1:66" s="285" customFormat="1" ht="22.5" customHeight="1">
      <c r="A524" s="361">
        <v>4627186343859</v>
      </c>
      <c r="B524" s="375">
        <v>4346</v>
      </c>
      <c r="C524" s="999" t="s">
        <v>2413</v>
      </c>
      <c r="D524" s="834"/>
      <c r="E524" s="424" t="s">
        <v>222</v>
      </c>
      <c r="F524" s="415"/>
      <c r="G524" s="1000"/>
      <c r="H524" s="1000"/>
      <c r="I524" s="1001"/>
      <c r="J524" s="423">
        <v>25</v>
      </c>
      <c r="K524" s="472">
        <f t="shared" ref="K524" si="411">J524*F524</f>
        <v>0</v>
      </c>
      <c r="L524" s="421">
        <f t="shared" ref="L524" si="412">J524+J524*5%</f>
        <v>26.25</v>
      </c>
      <c r="M524" s="472">
        <f t="shared" ref="M524" si="413">L524*F524</f>
        <v>0</v>
      </c>
      <c r="N524" s="421">
        <f t="shared" ref="N524" si="414">J524+J524*10%</f>
        <v>27.5</v>
      </c>
      <c r="O524" s="472">
        <f t="shared" ref="O524" si="415">N524*F524</f>
        <v>0</v>
      </c>
      <c r="P524" s="421">
        <f t="shared" ref="P524" si="416">J524+J524*15%</f>
        <v>28.75</v>
      </c>
      <c r="Q524" s="472">
        <f t="shared" ref="Q524" si="417">P524*F524</f>
        <v>0</v>
      </c>
      <c r="R524" s="421">
        <f t="shared" ref="R524" si="418">J524+J524*25%</f>
        <v>31.25</v>
      </c>
      <c r="S524" s="418">
        <f t="shared" ref="S524" si="419">R524*F524</f>
        <v>0</v>
      </c>
      <c r="T524" s="878">
        <v>16</v>
      </c>
      <c r="U524" s="878">
        <f t="shared" ref="U524" si="420">T524*F524</f>
        <v>0</v>
      </c>
      <c r="V524" s="879"/>
      <c r="W524" s="968"/>
      <c r="Y524" s="795">
        <v>12</v>
      </c>
      <c r="Z524" s="221"/>
      <c r="AA524" s="969" t="s">
        <v>2328</v>
      </c>
      <c r="AB524" s="990"/>
      <c r="AC524" s="990"/>
      <c r="AD524" s="991"/>
      <c r="AE524" s="991"/>
      <c r="AF524" s="973"/>
      <c r="AG524" s="973"/>
      <c r="AH524" s="798"/>
      <c r="AI524" s="985"/>
      <c r="AJ524" s="221"/>
      <c r="AK524" s="976"/>
      <c r="AL524" s="551"/>
      <c r="AM524" s="1002"/>
      <c r="AN524" s="1003"/>
      <c r="AO524" s="1003"/>
      <c r="AP524" s="993"/>
      <c r="AQ524" s="979"/>
      <c r="AR524" s="994"/>
      <c r="AS524" s="995"/>
      <c r="AU524" s="189"/>
      <c r="AV524" s="189"/>
      <c r="AW524" s="189"/>
      <c r="AX524" s="521"/>
      <c r="AY524" s="507"/>
      <c r="AZ524" s="189"/>
      <c r="BA524" s="189"/>
      <c r="BB524" s="189"/>
      <c r="BC524" s="517"/>
      <c r="BD524" s="189"/>
      <c r="BE524" s="4"/>
      <c r="BF524" s="445"/>
      <c r="BG524" s="4"/>
      <c r="BH524" s="4"/>
      <c r="BI524" s="4"/>
      <c r="BJ524" s="4"/>
      <c r="BK524" s="4"/>
      <c r="BL524" s="4"/>
      <c r="BM524" s="4"/>
      <c r="BN524" s="4"/>
    </row>
    <row r="525" spans="1:66" ht="21" customHeight="1">
      <c r="A525" s="485" t="s">
        <v>156</v>
      </c>
      <c r="B525" s="333"/>
      <c r="C525" s="271" t="s">
        <v>2414</v>
      </c>
      <c r="D525" s="827"/>
      <c r="E525" s="270"/>
      <c r="F525" s="491"/>
      <c r="G525" s="360"/>
      <c r="H525" s="360" t="s">
        <v>2415</v>
      </c>
      <c r="I525" s="360"/>
      <c r="J525" s="420"/>
      <c r="K525" s="488">
        <f>K526+K527+K528+K529+K530+K531+K532+K533+K534+K535+K536+K537+K538+K539+K540+K541+K542</f>
        <v>0</v>
      </c>
      <c r="L525" s="489"/>
      <c r="M525" s="488">
        <f>M526+M527+M528+M529+M530+M531+M532+M533+M534+M535+M536+M537+M538+M539+M540+M541+M542</f>
        <v>0</v>
      </c>
      <c r="N525" s="489"/>
      <c r="O525" s="488">
        <f>O526+O527+O529+O530+O531+O532+O533+O534+O535+O536+O537+O538+O539+O540+O541+O542+O528</f>
        <v>0</v>
      </c>
      <c r="P525" s="489"/>
      <c r="Q525" s="488">
        <f>Q526+Q527+Q529+Q530+Q531+Q532+Q533+Q534+Q535+Q536+Q537+Q538+Q539+Q540+Q541+Q542+Q528</f>
        <v>0</v>
      </c>
      <c r="R525" s="489"/>
      <c r="S525" s="488">
        <f>S526+S527+S528+S529+S530+S531+S532+S533+S534+S535+S536+S537+S538+S539+S540+S541+S542</f>
        <v>0</v>
      </c>
      <c r="T525" s="313"/>
      <c r="U525" s="313">
        <f>SUM(U526:U539)</f>
        <v>0</v>
      </c>
      <c r="V525" s="293"/>
      <c r="W525" s="293"/>
      <c r="Y525" s="562"/>
      <c r="Z525" s="293"/>
      <c r="AA525" s="772"/>
      <c r="AB525" s="543"/>
      <c r="AC525" s="543"/>
      <c r="AD525" s="716"/>
      <c r="AE525" s="716"/>
      <c r="AF525" s="701"/>
      <c r="AG525" s="701"/>
      <c r="AH525" s="546"/>
      <c r="AI525" s="675"/>
      <c r="AJ525" s="293"/>
      <c r="AK525" s="563"/>
      <c r="AL525" s="554"/>
      <c r="AM525" s="562"/>
      <c r="AN525" s="293"/>
      <c r="AO525" s="293"/>
      <c r="AP525" s="293"/>
      <c r="AQ525" s="293"/>
      <c r="AR525" s="293"/>
      <c r="AS525" s="563"/>
      <c r="AU525" s="293"/>
      <c r="AV525" s="293"/>
      <c r="AW525" s="293"/>
      <c r="AX525" s="293"/>
      <c r="AY525" s="293"/>
      <c r="AZ525" s="293"/>
      <c r="BA525" s="293"/>
      <c r="BB525" s="293"/>
      <c r="BC525" s="293"/>
      <c r="BD525" s="293"/>
      <c r="BF525" s="445"/>
    </row>
    <row r="526" spans="1:66" ht="15" customHeight="1">
      <c r="A526" s="116">
        <v>4627101821370</v>
      </c>
      <c r="B526" s="100">
        <v>1189</v>
      </c>
      <c r="C526" s="251" t="s">
        <v>2416</v>
      </c>
      <c r="D526" s="826"/>
      <c r="E526" s="110" t="s">
        <v>2417</v>
      </c>
      <c r="F526" s="248"/>
      <c r="G526" s="190"/>
      <c r="H526" s="190"/>
      <c r="I526" s="190"/>
      <c r="J526" s="315">
        <v>1030</v>
      </c>
      <c r="K526" s="104">
        <f t="shared" ref="K526:K542" si="421">J526*F526</f>
        <v>0</v>
      </c>
      <c r="L526" s="238">
        <f t="shared" ref="L526:L542" si="422">J526+J526*5%</f>
        <v>1081.5</v>
      </c>
      <c r="M526" s="104">
        <f t="shared" ref="M526:M542" si="423">F526*L526</f>
        <v>0</v>
      </c>
      <c r="N526" s="238">
        <f t="shared" ref="N526:N542" si="424">J526+J526*10%</f>
        <v>1133</v>
      </c>
      <c r="O526" s="104">
        <f t="shared" ref="O526:O542" si="425">F526*N526</f>
        <v>0</v>
      </c>
      <c r="P526" s="238">
        <f t="shared" ref="P526:P542" si="426">J526+J526*15%</f>
        <v>1184.5</v>
      </c>
      <c r="Q526" s="104">
        <f t="shared" ref="Q526:Q542" si="427">F526*P526</f>
        <v>0</v>
      </c>
      <c r="R526" s="238">
        <f t="shared" ref="R526:R542" si="428">J526+J526*25%</f>
        <v>1287.5</v>
      </c>
      <c r="S526" s="104">
        <f t="shared" ref="S526:S542" si="429">F526*R526</f>
        <v>0</v>
      </c>
      <c r="T526" s="388">
        <v>1000</v>
      </c>
      <c r="U526" s="105">
        <f t="shared" ref="U526:U542" si="430">T526*F526</f>
        <v>0</v>
      </c>
      <c r="V526" s="106"/>
      <c r="W526" s="301"/>
      <c r="Y526" s="567">
        <v>12</v>
      </c>
      <c r="Z526" s="189"/>
      <c r="AA526" s="541" t="s">
        <v>123</v>
      </c>
      <c r="AB526" s="537">
        <v>44193</v>
      </c>
      <c r="AC526" s="537">
        <v>46018</v>
      </c>
      <c r="AD526" s="769" t="s">
        <v>124</v>
      </c>
      <c r="AE526" s="718"/>
      <c r="AF526" s="700"/>
      <c r="AG526" s="700"/>
      <c r="AH526" s="547"/>
      <c r="AI526" s="478"/>
      <c r="AJ526" s="189"/>
      <c r="AK526" s="568">
        <v>3401110001</v>
      </c>
      <c r="AM526" s="661"/>
      <c r="AN526" s="662"/>
      <c r="AO526" s="662"/>
      <c r="AP526" s="616"/>
      <c r="AQ526" s="609"/>
      <c r="AR526" s="621"/>
      <c r="AS526" s="618"/>
      <c r="AU526" s="189"/>
      <c r="AV526" s="189"/>
      <c r="AW526" s="189"/>
      <c r="AX526" s="521"/>
      <c r="AY526" s="507"/>
      <c r="AZ526" s="189"/>
      <c r="BA526" s="189"/>
      <c r="BB526" s="189"/>
      <c r="BC526" s="517"/>
      <c r="BD526" s="189"/>
      <c r="BF526" s="445"/>
    </row>
    <row r="527" spans="1:66" ht="16.149999999999999" customHeight="1">
      <c r="A527" s="116">
        <v>4627101821394</v>
      </c>
      <c r="B527" s="100">
        <v>1193</v>
      </c>
      <c r="C527" s="251" t="s">
        <v>1816</v>
      </c>
      <c r="D527" s="826"/>
      <c r="E527" s="110" t="s">
        <v>2417</v>
      </c>
      <c r="F527" s="248"/>
      <c r="G527" s="190"/>
      <c r="H527" s="190"/>
      <c r="I527" s="190"/>
      <c r="J527" s="315">
        <v>1030</v>
      </c>
      <c r="K527" s="104">
        <f t="shared" si="421"/>
        <v>0</v>
      </c>
      <c r="L527" s="238">
        <f t="shared" si="422"/>
        <v>1081.5</v>
      </c>
      <c r="M527" s="104">
        <f t="shared" si="423"/>
        <v>0</v>
      </c>
      <c r="N527" s="238">
        <f t="shared" si="424"/>
        <v>1133</v>
      </c>
      <c r="O527" s="104">
        <f t="shared" si="425"/>
        <v>0</v>
      </c>
      <c r="P527" s="238">
        <f t="shared" si="426"/>
        <v>1184.5</v>
      </c>
      <c r="Q527" s="104">
        <f t="shared" si="427"/>
        <v>0</v>
      </c>
      <c r="R527" s="238">
        <f t="shared" si="428"/>
        <v>1287.5</v>
      </c>
      <c r="S527" s="104">
        <f t="shared" si="429"/>
        <v>0</v>
      </c>
      <c r="T527" s="388">
        <v>1000</v>
      </c>
      <c r="U527" s="105">
        <f t="shared" si="430"/>
        <v>0</v>
      </c>
      <c r="V527" s="106"/>
      <c r="W527" s="301"/>
      <c r="Y527" s="567">
        <v>12</v>
      </c>
      <c r="Z527" s="189"/>
      <c r="AA527" s="541" t="s">
        <v>123</v>
      </c>
      <c r="AB527" s="537">
        <v>44193</v>
      </c>
      <c r="AC527" s="537">
        <v>46018</v>
      </c>
      <c r="AD527" s="769" t="s">
        <v>124</v>
      </c>
      <c r="AE527" s="718"/>
      <c r="AF527" s="700"/>
      <c r="AG527" s="700"/>
      <c r="AH527" s="547"/>
      <c r="AI527" s="478"/>
      <c r="AJ527" s="189"/>
      <c r="AK527" s="568">
        <v>3401110001</v>
      </c>
      <c r="AM527" s="661"/>
      <c r="AN527" s="662"/>
      <c r="AO527" s="662"/>
      <c r="AP527" s="616"/>
      <c r="AQ527" s="609"/>
      <c r="AR527" s="621"/>
      <c r="AS527" s="618"/>
      <c r="AU527" s="189"/>
      <c r="AV527" s="189"/>
      <c r="AW527" s="189"/>
      <c r="AX527" s="521"/>
      <c r="AY527" s="507"/>
      <c r="AZ527" s="189"/>
      <c r="BA527" s="189"/>
      <c r="BB527" s="189"/>
      <c r="BC527" s="517"/>
      <c r="BD527" s="189"/>
      <c r="BF527" s="445"/>
    </row>
    <row r="528" spans="1:66" ht="16.149999999999999" customHeight="1">
      <c r="A528" s="116" t="s">
        <v>895</v>
      </c>
      <c r="B528" s="100">
        <v>2459</v>
      </c>
      <c r="C528" s="251" t="s">
        <v>1822</v>
      </c>
      <c r="D528" s="826"/>
      <c r="E528" s="110" t="s">
        <v>2417</v>
      </c>
      <c r="F528" s="248"/>
      <c r="G528" s="190"/>
      <c r="H528" s="190"/>
      <c r="I528" s="190"/>
      <c r="J528" s="315">
        <v>1030</v>
      </c>
      <c r="K528" s="104">
        <f t="shared" si="421"/>
        <v>0</v>
      </c>
      <c r="L528" s="238">
        <f t="shared" si="422"/>
        <v>1081.5</v>
      </c>
      <c r="M528" s="104">
        <f t="shared" si="423"/>
        <v>0</v>
      </c>
      <c r="N528" s="238">
        <f t="shared" si="424"/>
        <v>1133</v>
      </c>
      <c r="O528" s="104">
        <f t="shared" si="425"/>
        <v>0</v>
      </c>
      <c r="P528" s="238">
        <f t="shared" si="426"/>
        <v>1184.5</v>
      </c>
      <c r="Q528" s="104">
        <f t="shared" si="427"/>
        <v>0</v>
      </c>
      <c r="R528" s="238">
        <f t="shared" si="428"/>
        <v>1287.5</v>
      </c>
      <c r="S528" s="104">
        <f t="shared" si="429"/>
        <v>0</v>
      </c>
      <c r="T528" s="388">
        <v>1000</v>
      </c>
      <c r="U528" s="105">
        <f t="shared" si="430"/>
        <v>0</v>
      </c>
      <c r="V528" s="106"/>
      <c r="W528" s="301"/>
      <c r="Y528" s="567">
        <v>12</v>
      </c>
      <c r="Z528" s="189"/>
      <c r="AA528" s="541" t="s">
        <v>123</v>
      </c>
      <c r="AB528" s="537">
        <v>44193</v>
      </c>
      <c r="AC528" s="537">
        <v>46018</v>
      </c>
      <c r="AD528" s="769" t="s">
        <v>124</v>
      </c>
      <c r="AE528" s="718"/>
      <c r="AF528" s="700"/>
      <c r="AG528" s="700"/>
      <c r="AH528" s="547"/>
      <c r="AI528" s="478"/>
      <c r="AJ528" s="189"/>
      <c r="AK528" s="568">
        <v>3401110001</v>
      </c>
      <c r="AM528" s="661"/>
      <c r="AN528" s="662"/>
      <c r="AO528" s="662"/>
      <c r="AP528" s="616"/>
      <c r="AQ528" s="609"/>
      <c r="AR528" s="621"/>
      <c r="AS528" s="618"/>
      <c r="AU528" s="189"/>
      <c r="AV528" s="189"/>
      <c r="AW528" s="189"/>
      <c r="AX528" s="521"/>
      <c r="AY528" s="507"/>
      <c r="AZ528" s="189"/>
      <c r="BA528" s="189"/>
      <c r="BB528" s="189"/>
      <c r="BC528" s="517"/>
      <c r="BD528" s="189"/>
      <c r="BF528" s="445"/>
    </row>
    <row r="529" spans="1:58" ht="16.149999999999999" customHeight="1">
      <c r="A529" s="116">
        <v>4627101821400</v>
      </c>
      <c r="B529" s="100">
        <v>1195</v>
      </c>
      <c r="C529" s="251" t="s">
        <v>1826</v>
      </c>
      <c r="D529" s="826"/>
      <c r="E529" s="110" t="s">
        <v>2417</v>
      </c>
      <c r="F529" s="248"/>
      <c r="G529" s="190"/>
      <c r="H529" s="190"/>
      <c r="I529" s="190"/>
      <c r="J529" s="315">
        <v>1030</v>
      </c>
      <c r="K529" s="104">
        <f t="shared" si="421"/>
        <v>0</v>
      </c>
      <c r="L529" s="238">
        <f t="shared" si="422"/>
        <v>1081.5</v>
      </c>
      <c r="M529" s="104">
        <f t="shared" si="423"/>
        <v>0</v>
      </c>
      <c r="N529" s="238">
        <f t="shared" si="424"/>
        <v>1133</v>
      </c>
      <c r="O529" s="104">
        <f t="shared" si="425"/>
        <v>0</v>
      </c>
      <c r="P529" s="238">
        <f t="shared" si="426"/>
        <v>1184.5</v>
      </c>
      <c r="Q529" s="104">
        <f t="shared" si="427"/>
        <v>0</v>
      </c>
      <c r="R529" s="238">
        <f t="shared" si="428"/>
        <v>1287.5</v>
      </c>
      <c r="S529" s="104">
        <f t="shared" si="429"/>
        <v>0</v>
      </c>
      <c r="T529" s="388">
        <v>1000</v>
      </c>
      <c r="U529" s="105">
        <f t="shared" si="430"/>
        <v>0</v>
      </c>
      <c r="V529" s="106"/>
      <c r="W529" s="301"/>
      <c r="Y529" s="567">
        <v>12</v>
      </c>
      <c r="Z529" s="189"/>
      <c r="AA529" s="541" t="s">
        <v>123</v>
      </c>
      <c r="AB529" s="537">
        <v>44193</v>
      </c>
      <c r="AC529" s="537">
        <v>46018</v>
      </c>
      <c r="AD529" s="769" t="s">
        <v>124</v>
      </c>
      <c r="AE529" s="718"/>
      <c r="AF529" s="700"/>
      <c r="AG529" s="700"/>
      <c r="AH529" s="547"/>
      <c r="AI529" s="478"/>
      <c r="AJ529" s="189"/>
      <c r="AK529" s="568">
        <v>3401110001</v>
      </c>
      <c r="AM529" s="661"/>
      <c r="AN529" s="662"/>
      <c r="AO529" s="662"/>
      <c r="AP529" s="616"/>
      <c r="AQ529" s="609"/>
      <c r="AR529" s="621"/>
      <c r="AS529" s="618"/>
      <c r="AU529" s="189"/>
      <c r="AV529" s="189"/>
      <c r="AW529" s="189"/>
      <c r="AX529" s="521"/>
      <c r="AY529" s="507"/>
      <c r="AZ529" s="189"/>
      <c r="BA529" s="189"/>
      <c r="BB529" s="189"/>
      <c r="BC529" s="517"/>
      <c r="BD529" s="189"/>
      <c r="BF529" s="445"/>
    </row>
    <row r="530" spans="1:58" ht="16.149999999999999" customHeight="1">
      <c r="A530" s="116">
        <v>4627101821417</v>
      </c>
      <c r="B530" s="100">
        <v>1196</v>
      </c>
      <c r="C530" s="251" t="s">
        <v>1835</v>
      </c>
      <c r="D530" s="826"/>
      <c r="E530" s="110" t="s">
        <v>2417</v>
      </c>
      <c r="F530" s="248"/>
      <c r="G530" s="190"/>
      <c r="H530" s="190"/>
      <c r="I530" s="190"/>
      <c r="J530" s="315">
        <v>1030</v>
      </c>
      <c r="K530" s="104">
        <f t="shared" si="421"/>
        <v>0</v>
      </c>
      <c r="L530" s="238">
        <f t="shared" si="422"/>
        <v>1081.5</v>
      </c>
      <c r="M530" s="104">
        <f t="shared" si="423"/>
        <v>0</v>
      </c>
      <c r="N530" s="238">
        <f t="shared" si="424"/>
        <v>1133</v>
      </c>
      <c r="O530" s="104">
        <f t="shared" si="425"/>
        <v>0</v>
      </c>
      <c r="P530" s="238">
        <f t="shared" si="426"/>
        <v>1184.5</v>
      </c>
      <c r="Q530" s="104">
        <f t="shared" si="427"/>
        <v>0</v>
      </c>
      <c r="R530" s="238">
        <f t="shared" si="428"/>
        <v>1287.5</v>
      </c>
      <c r="S530" s="104">
        <f t="shared" si="429"/>
        <v>0</v>
      </c>
      <c r="T530" s="388">
        <v>1000</v>
      </c>
      <c r="U530" s="105">
        <f t="shared" si="430"/>
        <v>0</v>
      </c>
      <c r="V530" s="106"/>
      <c r="W530" s="301"/>
      <c r="Y530" s="567">
        <v>12</v>
      </c>
      <c r="Z530" s="189"/>
      <c r="AA530" s="541" t="s">
        <v>123</v>
      </c>
      <c r="AB530" s="537">
        <v>44193</v>
      </c>
      <c r="AC530" s="537">
        <v>46018</v>
      </c>
      <c r="AD530" s="769" t="s">
        <v>124</v>
      </c>
      <c r="AE530" s="718"/>
      <c r="AF530" s="700"/>
      <c r="AG530" s="700"/>
      <c r="AH530" s="547"/>
      <c r="AI530" s="478"/>
      <c r="AJ530" s="189"/>
      <c r="AK530" s="568">
        <v>3401110001</v>
      </c>
      <c r="AM530" s="661"/>
      <c r="AN530" s="662"/>
      <c r="AO530" s="662"/>
      <c r="AP530" s="616"/>
      <c r="AQ530" s="609"/>
      <c r="AR530" s="621"/>
      <c r="AS530" s="618"/>
      <c r="AU530" s="189"/>
      <c r="AV530" s="189"/>
      <c r="AW530" s="189"/>
      <c r="AX530" s="521"/>
      <c r="AY530" s="507"/>
      <c r="AZ530" s="189"/>
      <c r="BA530" s="189"/>
      <c r="BB530" s="189"/>
      <c r="BC530" s="517"/>
      <c r="BD530" s="189"/>
      <c r="BF530" s="445"/>
    </row>
    <row r="531" spans="1:58" ht="15.75" customHeight="1">
      <c r="A531" s="116">
        <v>4627101821424</v>
      </c>
      <c r="B531" s="100">
        <v>1199</v>
      </c>
      <c r="C531" s="251" t="s">
        <v>1840</v>
      </c>
      <c r="D531" s="826"/>
      <c r="E531" s="110" t="s">
        <v>2417</v>
      </c>
      <c r="F531" s="248"/>
      <c r="G531" s="190"/>
      <c r="H531" s="190"/>
      <c r="I531" s="190"/>
      <c r="J531" s="315">
        <v>1030</v>
      </c>
      <c r="K531" s="104">
        <f t="shared" si="421"/>
        <v>0</v>
      </c>
      <c r="L531" s="238">
        <f t="shared" si="422"/>
        <v>1081.5</v>
      </c>
      <c r="M531" s="104">
        <f t="shared" si="423"/>
        <v>0</v>
      </c>
      <c r="N531" s="238">
        <f t="shared" si="424"/>
        <v>1133</v>
      </c>
      <c r="O531" s="104">
        <f t="shared" si="425"/>
        <v>0</v>
      </c>
      <c r="P531" s="238">
        <f t="shared" si="426"/>
        <v>1184.5</v>
      </c>
      <c r="Q531" s="104">
        <f t="shared" si="427"/>
        <v>0</v>
      </c>
      <c r="R531" s="238">
        <f t="shared" si="428"/>
        <v>1287.5</v>
      </c>
      <c r="S531" s="104">
        <f t="shared" si="429"/>
        <v>0</v>
      </c>
      <c r="T531" s="388">
        <v>1000</v>
      </c>
      <c r="U531" s="105">
        <f t="shared" si="430"/>
        <v>0</v>
      </c>
      <c r="V531" s="106"/>
      <c r="W531" s="301"/>
      <c r="Y531" s="567">
        <v>12</v>
      </c>
      <c r="Z531" s="189"/>
      <c r="AA531" s="541" t="s">
        <v>123</v>
      </c>
      <c r="AB531" s="537">
        <v>44193</v>
      </c>
      <c r="AC531" s="537">
        <v>46018</v>
      </c>
      <c r="AD531" s="769" t="s">
        <v>124</v>
      </c>
      <c r="AE531" s="718"/>
      <c r="AF531" s="700"/>
      <c r="AG531" s="700"/>
      <c r="AH531" s="547"/>
      <c r="AI531" s="478"/>
      <c r="AJ531" s="189"/>
      <c r="AK531" s="568">
        <v>3401110001</v>
      </c>
      <c r="AM531" s="661"/>
      <c r="AN531" s="662"/>
      <c r="AO531" s="662"/>
      <c r="AP531" s="616"/>
      <c r="AQ531" s="609"/>
      <c r="AR531" s="621"/>
      <c r="AS531" s="618"/>
      <c r="AU531" s="189"/>
      <c r="AV531" s="189"/>
      <c r="AW531" s="189"/>
      <c r="AX531" s="521"/>
      <c r="AY531" s="507"/>
      <c r="AZ531" s="189"/>
      <c r="BA531" s="189"/>
      <c r="BB531" s="189"/>
      <c r="BC531" s="517"/>
      <c r="BD531" s="189"/>
      <c r="BF531" s="445"/>
    </row>
    <row r="532" spans="1:58" ht="16.149999999999999" customHeight="1">
      <c r="A532" s="116">
        <v>4627101821615</v>
      </c>
      <c r="B532" s="100">
        <v>1207</v>
      </c>
      <c r="C532" s="251" t="s">
        <v>1845</v>
      </c>
      <c r="D532" s="826"/>
      <c r="E532" s="110" t="s">
        <v>2417</v>
      </c>
      <c r="F532" s="248"/>
      <c r="G532" s="190"/>
      <c r="H532" s="190"/>
      <c r="I532" s="190"/>
      <c r="J532" s="315">
        <v>1030</v>
      </c>
      <c r="K532" s="104">
        <f t="shared" si="421"/>
        <v>0</v>
      </c>
      <c r="L532" s="238">
        <f t="shared" si="422"/>
        <v>1081.5</v>
      </c>
      <c r="M532" s="104">
        <f t="shared" si="423"/>
        <v>0</v>
      </c>
      <c r="N532" s="238">
        <f t="shared" si="424"/>
        <v>1133</v>
      </c>
      <c r="O532" s="104">
        <f t="shared" si="425"/>
        <v>0</v>
      </c>
      <c r="P532" s="238">
        <f t="shared" si="426"/>
        <v>1184.5</v>
      </c>
      <c r="Q532" s="104">
        <f t="shared" si="427"/>
        <v>0</v>
      </c>
      <c r="R532" s="238">
        <f t="shared" si="428"/>
        <v>1287.5</v>
      </c>
      <c r="S532" s="104">
        <f t="shared" si="429"/>
        <v>0</v>
      </c>
      <c r="T532" s="388">
        <v>1000</v>
      </c>
      <c r="U532" s="105">
        <f t="shared" si="430"/>
        <v>0</v>
      </c>
      <c r="V532" s="106"/>
      <c r="W532" s="301"/>
      <c r="Y532" s="567">
        <v>12</v>
      </c>
      <c r="Z532" s="189"/>
      <c r="AA532" s="541" t="s">
        <v>123</v>
      </c>
      <c r="AB532" s="537">
        <v>44193</v>
      </c>
      <c r="AC532" s="537">
        <v>46018</v>
      </c>
      <c r="AD532" s="769" t="s">
        <v>124</v>
      </c>
      <c r="AE532" s="718"/>
      <c r="AF532" s="700"/>
      <c r="AG532" s="700"/>
      <c r="AH532" s="547"/>
      <c r="AI532" s="478"/>
      <c r="AJ532" s="189"/>
      <c r="AK532" s="568">
        <v>3401110001</v>
      </c>
      <c r="AM532" s="661"/>
      <c r="AN532" s="662"/>
      <c r="AO532" s="662"/>
      <c r="AP532" s="616"/>
      <c r="AQ532" s="609"/>
      <c r="AR532" s="621"/>
      <c r="AS532" s="618"/>
      <c r="AU532" s="189"/>
      <c r="AV532" s="189"/>
      <c r="AW532" s="189"/>
      <c r="AX532" s="521"/>
      <c r="AY532" s="507"/>
      <c r="AZ532" s="189"/>
      <c r="BA532" s="189"/>
      <c r="BB532" s="189"/>
      <c r="BC532" s="517"/>
      <c r="BD532" s="189"/>
      <c r="BF532" s="445"/>
    </row>
    <row r="533" spans="1:58" ht="16.149999999999999" customHeight="1">
      <c r="A533" s="116">
        <v>4627101821479</v>
      </c>
      <c r="B533" s="100">
        <v>1208</v>
      </c>
      <c r="C533" s="251" t="s">
        <v>1851</v>
      </c>
      <c r="D533" s="826"/>
      <c r="E533" s="110" t="s">
        <v>2417</v>
      </c>
      <c r="F533" s="248"/>
      <c r="G533" s="190"/>
      <c r="H533" s="190"/>
      <c r="I533" s="190"/>
      <c r="J533" s="315">
        <v>1030</v>
      </c>
      <c r="K533" s="104">
        <f t="shared" si="421"/>
        <v>0</v>
      </c>
      <c r="L533" s="238">
        <f t="shared" si="422"/>
        <v>1081.5</v>
      </c>
      <c r="M533" s="104">
        <f t="shared" si="423"/>
        <v>0</v>
      </c>
      <c r="N533" s="238">
        <f t="shared" si="424"/>
        <v>1133</v>
      </c>
      <c r="O533" s="104">
        <f t="shared" si="425"/>
        <v>0</v>
      </c>
      <c r="P533" s="238">
        <f t="shared" si="426"/>
        <v>1184.5</v>
      </c>
      <c r="Q533" s="104">
        <f t="shared" si="427"/>
        <v>0</v>
      </c>
      <c r="R533" s="238">
        <f t="shared" si="428"/>
        <v>1287.5</v>
      </c>
      <c r="S533" s="104">
        <f t="shared" si="429"/>
        <v>0</v>
      </c>
      <c r="T533" s="388">
        <v>1000</v>
      </c>
      <c r="U533" s="105">
        <f t="shared" si="430"/>
        <v>0</v>
      </c>
      <c r="V533" s="106"/>
      <c r="W533" s="301"/>
      <c r="Y533" s="567">
        <v>12</v>
      </c>
      <c r="Z533" s="189"/>
      <c r="AA533" s="541" t="s">
        <v>123</v>
      </c>
      <c r="AB533" s="537">
        <v>44193</v>
      </c>
      <c r="AC533" s="537">
        <v>46018</v>
      </c>
      <c r="AD533" s="769" t="s">
        <v>124</v>
      </c>
      <c r="AE533" s="718"/>
      <c r="AF533" s="700"/>
      <c r="AG533" s="700"/>
      <c r="AH533" s="547"/>
      <c r="AI533" s="478"/>
      <c r="AJ533" s="189"/>
      <c r="AK533" s="568">
        <v>3401110001</v>
      </c>
      <c r="AM533" s="661"/>
      <c r="AN533" s="662"/>
      <c r="AO533" s="662"/>
      <c r="AP533" s="616"/>
      <c r="AQ533" s="609"/>
      <c r="AR533" s="621"/>
      <c r="AS533" s="618"/>
      <c r="AU533" s="189"/>
      <c r="AV533" s="189"/>
      <c r="AW533" s="189"/>
      <c r="AX533" s="521"/>
      <c r="AY533" s="507"/>
      <c r="AZ533" s="189"/>
      <c r="BA533" s="189"/>
      <c r="BB533" s="189"/>
      <c r="BC533" s="517"/>
      <c r="BD533" s="189"/>
      <c r="BF533" s="445"/>
    </row>
    <row r="534" spans="1:58" ht="15" customHeight="1">
      <c r="A534" s="116">
        <v>4627101821486</v>
      </c>
      <c r="B534" s="100">
        <v>1210</v>
      </c>
      <c r="C534" s="251" t="s">
        <v>1856</v>
      </c>
      <c r="D534" s="826"/>
      <c r="E534" s="110" t="s">
        <v>2417</v>
      </c>
      <c r="F534" s="248"/>
      <c r="G534" s="190"/>
      <c r="H534" s="190"/>
      <c r="I534" s="190"/>
      <c r="J534" s="315">
        <v>1030</v>
      </c>
      <c r="K534" s="104">
        <f t="shared" si="421"/>
        <v>0</v>
      </c>
      <c r="L534" s="238">
        <f t="shared" si="422"/>
        <v>1081.5</v>
      </c>
      <c r="M534" s="104">
        <f t="shared" si="423"/>
        <v>0</v>
      </c>
      <c r="N534" s="238">
        <f t="shared" si="424"/>
        <v>1133</v>
      </c>
      <c r="O534" s="104">
        <f t="shared" si="425"/>
        <v>0</v>
      </c>
      <c r="P534" s="238">
        <f t="shared" si="426"/>
        <v>1184.5</v>
      </c>
      <c r="Q534" s="104">
        <f t="shared" si="427"/>
        <v>0</v>
      </c>
      <c r="R534" s="238">
        <f t="shared" si="428"/>
        <v>1287.5</v>
      </c>
      <c r="S534" s="104">
        <f t="shared" si="429"/>
        <v>0</v>
      </c>
      <c r="T534" s="388">
        <v>1000</v>
      </c>
      <c r="U534" s="105">
        <f t="shared" si="430"/>
        <v>0</v>
      </c>
      <c r="V534" s="106"/>
      <c r="W534" s="301"/>
      <c r="Y534" s="567">
        <v>12</v>
      </c>
      <c r="Z534" s="189"/>
      <c r="AA534" s="541" t="s">
        <v>123</v>
      </c>
      <c r="AB534" s="537">
        <v>44193</v>
      </c>
      <c r="AC534" s="537">
        <v>46018</v>
      </c>
      <c r="AD534" s="769" t="s">
        <v>124</v>
      </c>
      <c r="AE534" s="718"/>
      <c r="AF534" s="700"/>
      <c r="AG534" s="700"/>
      <c r="AH534" s="547"/>
      <c r="AI534" s="478"/>
      <c r="AJ534" s="189"/>
      <c r="AK534" s="568">
        <v>3401110001</v>
      </c>
      <c r="AM534" s="661"/>
      <c r="AN534" s="662"/>
      <c r="AO534" s="662"/>
      <c r="AP534" s="616"/>
      <c r="AQ534" s="609"/>
      <c r="AR534" s="621"/>
      <c r="AS534" s="618"/>
      <c r="AU534" s="189"/>
      <c r="AV534" s="189"/>
      <c r="AW534" s="189"/>
      <c r="AX534" s="521"/>
      <c r="AY534" s="507"/>
      <c r="AZ534" s="189"/>
      <c r="BA534" s="189"/>
      <c r="BB534" s="189"/>
      <c r="BC534" s="517"/>
      <c r="BD534" s="189"/>
      <c r="BF534" s="445"/>
    </row>
    <row r="535" spans="1:58" ht="16.149999999999999" customHeight="1">
      <c r="A535" s="116">
        <v>4627101821516</v>
      </c>
      <c r="B535" s="100">
        <v>1214</v>
      </c>
      <c r="C535" s="251" t="s">
        <v>1870</v>
      </c>
      <c r="D535" s="826"/>
      <c r="E535" s="110" t="s">
        <v>2417</v>
      </c>
      <c r="F535" s="248"/>
      <c r="G535" s="190"/>
      <c r="H535" s="190"/>
      <c r="I535" s="190"/>
      <c r="J535" s="315">
        <v>1030</v>
      </c>
      <c r="K535" s="104">
        <f t="shared" si="421"/>
        <v>0</v>
      </c>
      <c r="L535" s="238">
        <f t="shared" si="422"/>
        <v>1081.5</v>
      </c>
      <c r="M535" s="104">
        <f t="shared" si="423"/>
        <v>0</v>
      </c>
      <c r="N535" s="238">
        <f t="shared" si="424"/>
        <v>1133</v>
      </c>
      <c r="O535" s="104">
        <f t="shared" si="425"/>
        <v>0</v>
      </c>
      <c r="P535" s="238">
        <f t="shared" si="426"/>
        <v>1184.5</v>
      </c>
      <c r="Q535" s="104">
        <f t="shared" si="427"/>
        <v>0</v>
      </c>
      <c r="R535" s="238">
        <f t="shared" si="428"/>
        <v>1287.5</v>
      </c>
      <c r="S535" s="104">
        <f t="shared" si="429"/>
        <v>0</v>
      </c>
      <c r="T535" s="388">
        <v>1000</v>
      </c>
      <c r="U535" s="105">
        <f t="shared" si="430"/>
        <v>0</v>
      </c>
      <c r="V535" s="106"/>
      <c r="W535" s="301"/>
      <c r="Y535" s="567">
        <v>12</v>
      </c>
      <c r="Z535" s="189"/>
      <c r="AA535" s="541" t="s">
        <v>123</v>
      </c>
      <c r="AB535" s="537">
        <v>44193</v>
      </c>
      <c r="AC535" s="537">
        <v>46018</v>
      </c>
      <c r="AD535" s="769" t="s">
        <v>124</v>
      </c>
      <c r="AE535" s="718"/>
      <c r="AF535" s="700"/>
      <c r="AG535" s="700"/>
      <c r="AH535" s="547"/>
      <c r="AI535" s="478"/>
      <c r="AJ535" s="189"/>
      <c r="AK535" s="568">
        <v>3401110001</v>
      </c>
      <c r="AM535" s="661"/>
      <c r="AN535" s="662"/>
      <c r="AO535" s="662"/>
      <c r="AP535" s="616"/>
      <c r="AQ535" s="609"/>
      <c r="AR535" s="621"/>
      <c r="AS535" s="618"/>
      <c r="AU535" s="189"/>
      <c r="AV535" s="189"/>
      <c r="AW535" s="189"/>
      <c r="AX535" s="521"/>
      <c r="AY535" s="507"/>
      <c r="AZ535" s="189"/>
      <c r="BA535" s="189"/>
      <c r="BB535" s="189"/>
      <c r="BC535" s="517"/>
      <c r="BD535" s="189"/>
      <c r="BF535" s="445"/>
    </row>
    <row r="536" spans="1:58" ht="16.149999999999999" customHeight="1">
      <c r="A536" s="116" t="s">
        <v>895</v>
      </c>
      <c r="B536" s="100">
        <v>1216</v>
      </c>
      <c r="C536" s="251" t="s">
        <v>2418</v>
      </c>
      <c r="D536" s="826"/>
      <c r="E536" s="110" t="s">
        <v>2417</v>
      </c>
      <c r="F536" s="248"/>
      <c r="G536" s="190"/>
      <c r="H536" s="190"/>
      <c r="I536" s="190"/>
      <c r="J536" s="315">
        <v>1125</v>
      </c>
      <c r="K536" s="104">
        <f t="shared" si="421"/>
        <v>0</v>
      </c>
      <c r="L536" s="238">
        <f t="shared" si="422"/>
        <v>1181.25</v>
      </c>
      <c r="M536" s="104">
        <f t="shared" si="423"/>
        <v>0</v>
      </c>
      <c r="N536" s="238">
        <f t="shared" si="424"/>
        <v>1237.5</v>
      </c>
      <c r="O536" s="104">
        <f t="shared" si="425"/>
        <v>0</v>
      </c>
      <c r="P536" s="238">
        <f t="shared" si="426"/>
        <v>1293.75</v>
      </c>
      <c r="Q536" s="104">
        <f t="shared" si="427"/>
        <v>0</v>
      </c>
      <c r="R536" s="238">
        <f t="shared" si="428"/>
        <v>1406.25</v>
      </c>
      <c r="S536" s="104">
        <f t="shared" si="429"/>
        <v>0</v>
      </c>
      <c r="T536" s="388">
        <v>1000</v>
      </c>
      <c r="U536" s="105">
        <f t="shared" si="430"/>
        <v>0</v>
      </c>
      <c r="V536" s="106"/>
      <c r="W536" s="301"/>
      <c r="Y536" s="567">
        <v>12</v>
      </c>
      <c r="Z536" s="189"/>
      <c r="AA536" s="541" t="s">
        <v>123</v>
      </c>
      <c r="AB536" s="537">
        <v>44193</v>
      </c>
      <c r="AC536" s="537">
        <v>46018</v>
      </c>
      <c r="AD536" s="769" t="s">
        <v>124</v>
      </c>
      <c r="AE536" s="718"/>
      <c r="AF536" s="700"/>
      <c r="AG536" s="700"/>
      <c r="AH536" s="547"/>
      <c r="AI536" s="478"/>
      <c r="AJ536" s="189"/>
      <c r="AK536" s="568">
        <v>3401110001</v>
      </c>
      <c r="AM536" s="661"/>
      <c r="AN536" s="662"/>
      <c r="AO536" s="662"/>
      <c r="AP536" s="616"/>
      <c r="AQ536" s="609"/>
      <c r="AR536" s="621"/>
      <c r="AS536" s="618"/>
      <c r="AU536" s="189"/>
      <c r="AV536" s="189"/>
      <c r="AW536" s="189"/>
      <c r="AX536" s="521"/>
      <c r="AY536" s="507"/>
      <c r="AZ536" s="189"/>
      <c r="BA536" s="189"/>
      <c r="BB536" s="189"/>
      <c r="BC536" s="517"/>
      <c r="BD536" s="189"/>
      <c r="BF536" s="445"/>
    </row>
    <row r="537" spans="1:58" ht="16.149999999999999" customHeight="1">
      <c r="A537" s="116">
        <v>4627101821530</v>
      </c>
      <c r="B537" s="100">
        <v>1217</v>
      </c>
      <c r="C537" s="251" t="s">
        <v>2419</v>
      </c>
      <c r="D537" s="826"/>
      <c r="E537" s="110" t="s">
        <v>2417</v>
      </c>
      <c r="F537" s="248"/>
      <c r="G537" s="190"/>
      <c r="H537" s="190"/>
      <c r="I537" s="190"/>
      <c r="J537" s="315">
        <v>1125</v>
      </c>
      <c r="K537" s="104">
        <f t="shared" si="421"/>
        <v>0</v>
      </c>
      <c r="L537" s="238">
        <f t="shared" si="422"/>
        <v>1181.25</v>
      </c>
      <c r="M537" s="104">
        <f t="shared" si="423"/>
        <v>0</v>
      </c>
      <c r="N537" s="238">
        <f t="shared" si="424"/>
        <v>1237.5</v>
      </c>
      <c r="O537" s="104">
        <f t="shared" si="425"/>
        <v>0</v>
      </c>
      <c r="P537" s="238">
        <f t="shared" si="426"/>
        <v>1293.75</v>
      </c>
      <c r="Q537" s="104">
        <f t="shared" si="427"/>
        <v>0</v>
      </c>
      <c r="R537" s="238">
        <f t="shared" si="428"/>
        <v>1406.25</v>
      </c>
      <c r="S537" s="104">
        <f t="shared" si="429"/>
        <v>0</v>
      </c>
      <c r="T537" s="388">
        <v>1000</v>
      </c>
      <c r="U537" s="105">
        <f t="shared" si="430"/>
        <v>0</v>
      </c>
      <c r="V537" s="106"/>
      <c r="W537" s="301"/>
      <c r="Y537" s="567">
        <v>12</v>
      </c>
      <c r="Z537" s="189"/>
      <c r="AA537" s="541" t="s">
        <v>123</v>
      </c>
      <c r="AB537" s="537">
        <v>44193</v>
      </c>
      <c r="AC537" s="537">
        <v>46018</v>
      </c>
      <c r="AD537" s="769" t="s">
        <v>124</v>
      </c>
      <c r="AE537" s="718"/>
      <c r="AF537" s="700"/>
      <c r="AG537" s="700"/>
      <c r="AH537" s="547"/>
      <c r="AI537" s="478"/>
      <c r="AJ537" s="189"/>
      <c r="AK537" s="568">
        <v>3401110001</v>
      </c>
      <c r="AM537" s="661"/>
      <c r="AN537" s="662"/>
      <c r="AO537" s="662"/>
      <c r="AP537" s="616"/>
      <c r="AQ537" s="609"/>
      <c r="AR537" s="621"/>
      <c r="AS537" s="618"/>
      <c r="AU537" s="189"/>
      <c r="AV537" s="189"/>
      <c r="AW537" s="189"/>
      <c r="AX537" s="521"/>
      <c r="AY537" s="507"/>
      <c r="AZ537" s="189"/>
      <c r="BA537" s="189"/>
      <c r="BB537" s="189"/>
      <c r="BC537" s="517"/>
      <c r="BD537" s="189"/>
      <c r="BF537" s="445"/>
    </row>
    <row r="538" spans="1:58" ht="16.149999999999999" customHeight="1">
      <c r="A538" s="116">
        <v>4627101821547</v>
      </c>
      <c r="B538" s="100">
        <v>1218</v>
      </c>
      <c r="C538" s="251" t="s">
        <v>2420</v>
      </c>
      <c r="D538" s="826"/>
      <c r="E538" s="110" t="s">
        <v>2417</v>
      </c>
      <c r="F538" s="248"/>
      <c r="G538" s="190"/>
      <c r="H538" s="190"/>
      <c r="I538" s="190"/>
      <c r="J538" s="315">
        <v>1125</v>
      </c>
      <c r="K538" s="104">
        <f t="shared" si="421"/>
        <v>0</v>
      </c>
      <c r="L538" s="238">
        <f t="shared" si="422"/>
        <v>1181.25</v>
      </c>
      <c r="M538" s="104">
        <f t="shared" si="423"/>
        <v>0</v>
      </c>
      <c r="N538" s="238">
        <f t="shared" si="424"/>
        <v>1237.5</v>
      </c>
      <c r="O538" s="104">
        <f t="shared" si="425"/>
        <v>0</v>
      </c>
      <c r="P538" s="238">
        <f t="shared" si="426"/>
        <v>1293.75</v>
      </c>
      <c r="Q538" s="104">
        <f t="shared" si="427"/>
        <v>0</v>
      </c>
      <c r="R538" s="238">
        <f t="shared" si="428"/>
        <v>1406.25</v>
      </c>
      <c r="S538" s="104">
        <f t="shared" si="429"/>
        <v>0</v>
      </c>
      <c r="T538" s="388">
        <v>1000</v>
      </c>
      <c r="U538" s="105">
        <f t="shared" si="430"/>
        <v>0</v>
      </c>
      <c r="V538" s="106"/>
      <c r="W538" s="301"/>
      <c r="Y538" s="567">
        <v>12</v>
      </c>
      <c r="Z538" s="189"/>
      <c r="AA538" s="541" t="s">
        <v>123</v>
      </c>
      <c r="AB538" s="537">
        <v>44193</v>
      </c>
      <c r="AC538" s="537">
        <v>46018</v>
      </c>
      <c r="AD538" s="769" t="s">
        <v>124</v>
      </c>
      <c r="AE538" s="718"/>
      <c r="AF538" s="700"/>
      <c r="AG538" s="700"/>
      <c r="AH538" s="547"/>
      <c r="AI538" s="478"/>
      <c r="AJ538" s="189"/>
      <c r="AK538" s="568">
        <v>3401110001</v>
      </c>
      <c r="AM538" s="661"/>
      <c r="AN538" s="662"/>
      <c r="AO538" s="662"/>
      <c r="AP538" s="616"/>
      <c r="AQ538" s="609"/>
      <c r="AR538" s="621"/>
      <c r="AS538" s="618"/>
      <c r="AU538" s="189"/>
      <c r="AV538" s="189"/>
      <c r="AW538" s="189"/>
      <c r="AX538" s="521"/>
      <c r="AY538" s="507"/>
      <c r="AZ538" s="189"/>
      <c r="BA538" s="189"/>
      <c r="BB538" s="189"/>
      <c r="BC538" s="517"/>
      <c r="BD538" s="189"/>
      <c r="BF538" s="445"/>
    </row>
    <row r="539" spans="1:58" ht="16.149999999999999" customHeight="1">
      <c r="A539" s="116">
        <v>4627101821554</v>
      </c>
      <c r="B539" s="100">
        <v>1219</v>
      </c>
      <c r="C539" s="251" t="s">
        <v>2421</v>
      </c>
      <c r="D539" s="826"/>
      <c r="E539" s="110" t="s">
        <v>2417</v>
      </c>
      <c r="F539" s="248"/>
      <c r="G539" s="190"/>
      <c r="H539" s="190"/>
      <c r="I539" s="190"/>
      <c r="J539" s="315">
        <v>1125</v>
      </c>
      <c r="K539" s="104">
        <f t="shared" si="421"/>
        <v>0</v>
      </c>
      <c r="L539" s="238">
        <f t="shared" si="422"/>
        <v>1181.25</v>
      </c>
      <c r="M539" s="104">
        <f t="shared" si="423"/>
        <v>0</v>
      </c>
      <c r="N539" s="238">
        <f t="shared" si="424"/>
        <v>1237.5</v>
      </c>
      <c r="O539" s="104">
        <f t="shared" si="425"/>
        <v>0</v>
      </c>
      <c r="P539" s="238">
        <f t="shared" si="426"/>
        <v>1293.75</v>
      </c>
      <c r="Q539" s="104">
        <f t="shared" si="427"/>
        <v>0</v>
      </c>
      <c r="R539" s="238">
        <f t="shared" si="428"/>
        <v>1406.25</v>
      </c>
      <c r="S539" s="104">
        <f t="shared" si="429"/>
        <v>0</v>
      </c>
      <c r="T539" s="388">
        <v>1000</v>
      </c>
      <c r="U539" s="105">
        <f t="shared" si="430"/>
        <v>0</v>
      </c>
      <c r="V539" s="106"/>
      <c r="W539" s="301"/>
      <c r="Y539" s="567">
        <v>12</v>
      </c>
      <c r="Z539" s="189"/>
      <c r="AA539" s="541" t="s">
        <v>123</v>
      </c>
      <c r="AB539" s="537">
        <v>44193</v>
      </c>
      <c r="AC539" s="537">
        <v>46018</v>
      </c>
      <c r="AD539" s="769" t="s">
        <v>124</v>
      </c>
      <c r="AE539" s="718"/>
      <c r="AF539" s="700"/>
      <c r="AG539" s="700"/>
      <c r="AH539" s="547"/>
      <c r="AI539" s="478"/>
      <c r="AJ539" s="189"/>
      <c r="AK539" s="568">
        <v>3401110001</v>
      </c>
      <c r="AM539" s="661"/>
      <c r="AN539" s="662"/>
      <c r="AO539" s="662"/>
      <c r="AP539" s="616"/>
      <c r="AQ539" s="609"/>
      <c r="AR539" s="621"/>
      <c r="AS539" s="618"/>
      <c r="AU539" s="189"/>
      <c r="AV539" s="189"/>
      <c r="AW539" s="189"/>
      <c r="AX539" s="521"/>
      <c r="AY539" s="507"/>
      <c r="AZ539" s="189"/>
      <c r="BA539" s="189"/>
      <c r="BB539" s="189"/>
      <c r="BC539" s="517"/>
      <c r="BD539" s="189"/>
      <c r="BF539" s="445"/>
    </row>
    <row r="540" spans="1:58" ht="16.149999999999999" customHeight="1">
      <c r="A540" s="116">
        <v>4627101821561</v>
      </c>
      <c r="B540" s="100">
        <v>1220</v>
      </c>
      <c r="C540" s="251" t="s">
        <v>2422</v>
      </c>
      <c r="D540" s="826"/>
      <c r="E540" s="110" t="s">
        <v>2417</v>
      </c>
      <c r="F540" s="248"/>
      <c r="G540" s="190"/>
      <c r="H540" s="190"/>
      <c r="I540" s="190"/>
      <c r="J540" s="315">
        <v>1125</v>
      </c>
      <c r="K540" s="104">
        <f t="shared" si="421"/>
        <v>0</v>
      </c>
      <c r="L540" s="238">
        <f t="shared" si="422"/>
        <v>1181.25</v>
      </c>
      <c r="M540" s="104">
        <f t="shared" si="423"/>
        <v>0</v>
      </c>
      <c r="N540" s="238">
        <f t="shared" si="424"/>
        <v>1237.5</v>
      </c>
      <c r="O540" s="104">
        <f t="shared" si="425"/>
        <v>0</v>
      </c>
      <c r="P540" s="238">
        <f t="shared" si="426"/>
        <v>1293.75</v>
      </c>
      <c r="Q540" s="104">
        <f t="shared" si="427"/>
        <v>0</v>
      </c>
      <c r="R540" s="238">
        <f t="shared" si="428"/>
        <v>1406.25</v>
      </c>
      <c r="S540" s="104">
        <f t="shared" si="429"/>
        <v>0</v>
      </c>
      <c r="T540" s="388">
        <v>1000</v>
      </c>
      <c r="U540" s="105">
        <f t="shared" si="430"/>
        <v>0</v>
      </c>
      <c r="V540" s="106"/>
      <c r="W540" s="301"/>
      <c r="Y540" s="567">
        <v>12</v>
      </c>
      <c r="Z540" s="189"/>
      <c r="AA540" s="541" t="s">
        <v>123</v>
      </c>
      <c r="AB540" s="537">
        <v>44193</v>
      </c>
      <c r="AC540" s="537">
        <v>46018</v>
      </c>
      <c r="AD540" s="769" t="s">
        <v>124</v>
      </c>
      <c r="AE540" s="718"/>
      <c r="AF540" s="700"/>
      <c r="AG540" s="700"/>
      <c r="AH540" s="547"/>
      <c r="AI540" s="478"/>
      <c r="AJ540" s="189"/>
      <c r="AK540" s="568">
        <v>3401110001</v>
      </c>
      <c r="AM540" s="661"/>
      <c r="AN540" s="662"/>
      <c r="AO540" s="662"/>
      <c r="AP540" s="616"/>
      <c r="AQ540" s="609"/>
      <c r="AR540" s="621"/>
      <c r="AS540" s="618"/>
      <c r="AU540" s="189"/>
      <c r="AV540" s="189"/>
      <c r="AW540" s="189"/>
      <c r="AX540" s="521"/>
      <c r="AY540" s="507"/>
      <c r="AZ540" s="189"/>
      <c r="BA540" s="189"/>
      <c r="BB540" s="189"/>
      <c r="BC540" s="517"/>
      <c r="BD540" s="189"/>
      <c r="BF540" s="445"/>
    </row>
    <row r="541" spans="1:58" ht="16.149999999999999" customHeight="1">
      <c r="A541" s="116">
        <v>4627101821578</v>
      </c>
      <c r="B541" s="100">
        <v>1221</v>
      </c>
      <c r="C541" s="251" t="s">
        <v>2423</v>
      </c>
      <c r="D541" s="826"/>
      <c r="E541" s="110" t="s">
        <v>2417</v>
      </c>
      <c r="F541" s="248"/>
      <c r="G541" s="190"/>
      <c r="H541" s="190"/>
      <c r="I541" s="190"/>
      <c r="J541" s="315">
        <v>1125</v>
      </c>
      <c r="K541" s="104">
        <f t="shared" si="421"/>
        <v>0</v>
      </c>
      <c r="L541" s="238">
        <f t="shared" si="422"/>
        <v>1181.25</v>
      </c>
      <c r="M541" s="104">
        <f t="shared" si="423"/>
        <v>0</v>
      </c>
      <c r="N541" s="238">
        <f t="shared" si="424"/>
        <v>1237.5</v>
      </c>
      <c r="O541" s="104">
        <f t="shared" si="425"/>
        <v>0</v>
      </c>
      <c r="P541" s="238">
        <f t="shared" si="426"/>
        <v>1293.75</v>
      </c>
      <c r="Q541" s="104">
        <f t="shared" si="427"/>
        <v>0</v>
      </c>
      <c r="R541" s="238">
        <f t="shared" si="428"/>
        <v>1406.25</v>
      </c>
      <c r="S541" s="104">
        <f t="shared" si="429"/>
        <v>0</v>
      </c>
      <c r="T541" s="388">
        <v>1000</v>
      </c>
      <c r="U541" s="105">
        <f t="shared" si="430"/>
        <v>0</v>
      </c>
      <c r="V541" s="106"/>
      <c r="W541" s="301"/>
      <c r="Y541" s="567">
        <v>12</v>
      </c>
      <c r="Z541" s="189"/>
      <c r="AA541" s="541" t="s">
        <v>123</v>
      </c>
      <c r="AB541" s="537">
        <v>44193</v>
      </c>
      <c r="AC541" s="537">
        <v>46018</v>
      </c>
      <c r="AD541" s="769" t="s">
        <v>124</v>
      </c>
      <c r="AE541" s="718"/>
      <c r="AF541" s="700"/>
      <c r="AG541" s="700"/>
      <c r="AH541" s="547"/>
      <c r="AI541" s="478"/>
      <c r="AJ541" s="189"/>
      <c r="AK541" s="568">
        <v>3401110001</v>
      </c>
      <c r="AM541" s="661"/>
      <c r="AN541" s="662"/>
      <c r="AO541" s="662"/>
      <c r="AP541" s="616"/>
      <c r="AQ541" s="609"/>
      <c r="AR541" s="621"/>
      <c r="AS541" s="618"/>
      <c r="AU541" s="189"/>
      <c r="AV541" s="189"/>
      <c r="AW541" s="189"/>
      <c r="AX541" s="521"/>
      <c r="AY541" s="507"/>
      <c r="AZ541" s="189"/>
      <c r="BA541" s="189"/>
      <c r="BB541" s="189"/>
      <c r="BC541" s="517"/>
      <c r="BD541" s="189"/>
      <c r="BF541" s="445"/>
    </row>
    <row r="542" spans="1:58" ht="16.149999999999999" customHeight="1">
      <c r="A542" s="116">
        <v>4627101821585</v>
      </c>
      <c r="B542" s="100">
        <v>1222</v>
      </c>
      <c r="C542" s="251" t="s">
        <v>2424</v>
      </c>
      <c r="D542" s="826"/>
      <c r="E542" s="110" t="s">
        <v>2417</v>
      </c>
      <c r="F542" s="248"/>
      <c r="G542" s="190"/>
      <c r="H542" s="190"/>
      <c r="I542" s="190"/>
      <c r="J542" s="315">
        <v>1125</v>
      </c>
      <c r="K542" s="104">
        <f t="shared" si="421"/>
        <v>0</v>
      </c>
      <c r="L542" s="238">
        <f t="shared" si="422"/>
        <v>1181.25</v>
      </c>
      <c r="M542" s="104">
        <f t="shared" si="423"/>
        <v>0</v>
      </c>
      <c r="N542" s="238">
        <f t="shared" si="424"/>
        <v>1237.5</v>
      </c>
      <c r="O542" s="104">
        <f t="shared" si="425"/>
        <v>0</v>
      </c>
      <c r="P542" s="238">
        <f t="shared" si="426"/>
        <v>1293.75</v>
      </c>
      <c r="Q542" s="104">
        <f t="shared" si="427"/>
        <v>0</v>
      </c>
      <c r="R542" s="238">
        <f t="shared" si="428"/>
        <v>1406.25</v>
      </c>
      <c r="S542" s="104">
        <f t="shared" si="429"/>
        <v>0</v>
      </c>
      <c r="T542" s="388">
        <v>1000</v>
      </c>
      <c r="U542" s="105">
        <f t="shared" si="430"/>
        <v>0</v>
      </c>
      <c r="V542" s="106"/>
      <c r="W542" s="301"/>
      <c r="Y542" s="567">
        <v>12</v>
      </c>
      <c r="Z542" s="189"/>
      <c r="AA542" s="541" t="s">
        <v>123</v>
      </c>
      <c r="AB542" s="537">
        <v>44193</v>
      </c>
      <c r="AC542" s="537">
        <v>46018</v>
      </c>
      <c r="AD542" s="769" t="s">
        <v>124</v>
      </c>
      <c r="AE542" s="718"/>
      <c r="AF542" s="700"/>
      <c r="AG542" s="700"/>
      <c r="AH542" s="547"/>
      <c r="AI542" s="478"/>
      <c r="AJ542" s="189"/>
      <c r="AK542" s="568">
        <v>3401110001</v>
      </c>
      <c r="AM542" s="661"/>
      <c r="AN542" s="662"/>
      <c r="AO542" s="662"/>
      <c r="AP542" s="616"/>
      <c r="AQ542" s="609"/>
      <c r="AR542" s="621"/>
      <c r="AS542" s="618"/>
      <c r="AU542" s="189"/>
      <c r="AV542" s="189"/>
      <c r="AW542" s="189"/>
      <c r="AX542" s="521"/>
      <c r="AY542" s="507"/>
      <c r="AZ542" s="189"/>
      <c r="BA542" s="189"/>
      <c r="BB542" s="189"/>
      <c r="BC542" s="517"/>
      <c r="BD542" s="189"/>
      <c r="BF542" s="445"/>
    </row>
    <row r="543" spans="1:58" ht="20.25" customHeight="1">
      <c r="A543" s="485" t="s">
        <v>156</v>
      </c>
      <c r="B543" s="333"/>
      <c r="C543" s="271" t="s">
        <v>2425</v>
      </c>
      <c r="D543" s="827"/>
      <c r="E543" s="270"/>
      <c r="F543" s="491"/>
      <c r="G543" s="360"/>
      <c r="H543" s="360"/>
      <c r="I543" s="360"/>
      <c r="J543" s="420"/>
      <c r="K543" s="488">
        <f>K544+K545</f>
        <v>0</v>
      </c>
      <c r="L543" s="489"/>
      <c r="M543" s="488">
        <f>M544+M545</f>
        <v>0</v>
      </c>
      <c r="N543" s="489"/>
      <c r="O543" s="488">
        <f>O544+O545</f>
        <v>0</v>
      </c>
      <c r="P543" s="489"/>
      <c r="Q543" s="488">
        <f>Q544+Q545</f>
        <v>0</v>
      </c>
      <c r="R543" s="489"/>
      <c r="S543" s="488">
        <f>S544+S545</f>
        <v>0</v>
      </c>
      <c r="T543" s="107"/>
      <c r="U543" s="313">
        <f>U544+U545</f>
        <v>0</v>
      </c>
      <c r="V543" s="293"/>
      <c r="W543" s="293"/>
      <c r="Y543" s="562"/>
      <c r="Z543" s="293"/>
      <c r="AA543" s="772"/>
      <c r="AB543" s="543"/>
      <c r="AC543" s="543"/>
      <c r="AD543" s="716"/>
      <c r="AE543" s="716"/>
      <c r="AF543" s="701"/>
      <c r="AG543" s="701"/>
      <c r="AH543" s="546"/>
      <c r="AI543" s="675"/>
      <c r="AJ543" s="293"/>
      <c r="AK543" s="563"/>
      <c r="AL543" s="554"/>
      <c r="AM543" s="562"/>
      <c r="AN543" s="293"/>
      <c r="AO543" s="293"/>
      <c r="AP543" s="293"/>
      <c r="AQ543" s="293"/>
      <c r="AR543" s="293"/>
      <c r="AS543" s="563"/>
      <c r="AU543" s="293"/>
      <c r="AV543" s="293"/>
      <c r="AW543" s="293"/>
      <c r="AX543" s="293"/>
      <c r="AY543" s="293"/>
      <c r="AZ543" s="293"/>
      <c r="BA543" s="293"/>
      <c r="BB543" s="293"/>
      <c r="BC543" s="293"/>
      <c r="BD543" s="293"/>
      <c r="BF543" s="445"/>
    </row>
    <row r="544" spans="1:58" ht="20.25" customHeight="1">
      <c r="A544" s="116">
        <v>4627101829666</v>
      </c>
      <c r="B544" s="100">
        <v>3272</v>
      </c>
      <c r="C544" s="251" t="s">
        <v>2426</v>
      </c>
      <c r="D544" s="826"/>
      <c r="E544" s="110" t="s">
        <v>902</v>
      </c>
      <c r="F544" s="248"/>
      <c r="G544" s="190"/>
      <c r="H544" s="190"/>
      <c r="I544" s="190"/>
      <c r="J544" s="315">
        <v>60</v>
      </c>
      <c r="K544" s="104">
        <f>J544*F544</f>
        <v>0</v>
      </c>
      <c r="L544" s="238">
        <v>63</v>
      </c>
      <c r="M544" s="104">
        <f>L544*F544</f>
        <v>0</v>
      </c>
      <c r="N544" s="238">
        <v>66</v>
      </c>
      <c r="O544" s="104">
        <f>N544*F544</f>
        <v>0</v>
      </c>
      <c r="P544" s="238">
        <v>69</v>
      </c>
      <c r="Q544" s="104">
        <f>P544*F544</f>
        <v>0</v>
      </c>
      <c r="R544" s="238">
        <v>75</v>
      </c>
      <c r="S544" s="104">
        <f>R544*F544</f>
        <v>0</v>
      </c>
      <c r="T544" s="388">
        <v>105</v>
      </c>
      <c r="U544" s="105">
        <f>T544*F544</f>
        <v>0</v>
      </c>
      <c r="V544" s="106"/>
      <c r="W544" s="301">
        <v>110</v>
      </c>
      <c r="Y544" s="567">
        <v>12</v>
      </c>
      <c r="Z544" s="189"/>
      <c r="AA544" s="541" t="s">
        <v>123</v>
      </c>
      <c r="AB544" s="537">
        <v>44193</v>
      </c>
      <c r="AC544" s="537">
        <v>46018</v>
      </c>
      <c r="AD544" s="769" t="s">
        <v>124</v>
      </c>
      <c r="AE544" s="718"/>
      <c r="AF544" s="700"/>
      <c r="AG544" s="700"/>
      <c r="AH544" s="547"/>
      <c r="AI544" s="478"/>
      <c r="AJ544" s="189"/>
      <c r="AK544" s="568">
        <v>3401110001</v>
      </c>
      <c r="AM544" s="610" t="s">
        <v>2427</v>
      </c>
      <c r="AN544" s="611" t="s">
        <v>2428</v>
      </c>
      <c r="AO544" s="611" t="s">
        <v>2429</v>
      </c>
      <c r="AP544" s="616" t="s">
        <v>2430</v>
      </c>
      <c r="AQ544" s="673" t="s">
        <v>2431</v>
      </c>
      <c r="AR544" s="619" t="s">
        <v>340</v>
      </c>
      <c r="AS544" s="618"/>
      <c r="AU544" s="189"/>
      <c r="AV544" s="189"/>
      <c r="AW544" s="189"/>
      <c r="AX544" s="521"/>
      <c r="AY544" s="507"/>
      <c r="AZ544" s="189"/>
      <c r="BA544" s="189"/>
      <c r="BB544" s="189"/>
      <c r="BC544" s="517"/>
      <c r="BD544" s="189"/>
      <c r="BF544" s="445"/>
    </row>
    <row r="545" spans="1:58" ht="21.75" customHeight="1">
      <c r="A545" s="116">
        <v>4627101829697</v>
      </c>
      <c r="B545" s="100">
        <v>3273</v>
      </c>
      <c r="C545" s="251" t="s">
        <v>2432</v>
      </c>
      <c r="D545" s="826"/>
      <c r="E545" s="110" t="s">
        <v>1931</v>
      </c>
      <c r="F545" s="248"/>
      <c r="G545" s="190"/>
      <c r="H545" s="190"/>
      <c r="I545" s="190"/>
      <c r="J545" s="315">
        <v>70</v>
      </c>
      <c r="K545" s="104">
        <f>J545*F545</f>
        <v>0</v>
      </c>
      <c r="L545" s="238">
        <v>74</v>
      </c>
      <c r="M545" s="104">
        <f>L545*F545</f>
        <v>0</v>
      </c>
      <c r="N545" s="238">
        <v>77</v>
      </c>
      <c r="O545" s="104">
        <f>N545*F545</f>
        <v>0</v>
      </c>
      <c r="P545" s="238">
        <v>81</v>
      </c>
      <c r="Q545" s="104">
        <f>P545*F545</f>
        <v>0</v>
      </c>
      <c r="R545" s="238">
        <v>88</v>
      </c>
      <c r="S545" s="104">
        <f>R545*F545</f>
        <v>0</v>
      </c>
      <c r="T545" s="388">
        <v>105</v>
      </c>
      <c r="U545" s="105">
        <f>T545*F545</f>
        <v>0</v>
      </c>
      <c r="V545" s="106"/>
      <c r="W545" s="301">
        <v>130</v>
      </c>
      <c r="Y545" s="567">
        <v>12</v>
      </c>
      <c r="Z545" s="189"/>
      <c r="AA545" s="541" t="s">
        <v>123</v>
      </c>
      <c r="AB545" s="537">
        <v>44193</v>
      </c>
      <c r="AC545" s="537">
        <v>46018</v>
      </c>
      <c r="AD545" s="769" t="s">
        <v>124</v>
      </c>
      <c r="AE545" s="718"/>
      <c r="AF545" s="700"/>
      <c r="AG545" s="700"/>
      <c r="AH545" s="547"/>
      <c r="AI545" s="478"/>
      <c r="AJ545" s="189"/>
      <c r="AK545" s="568">
        <v>3401110001</v>
      </c>
      <c r="AM545" s="610" t="s">
        <v>2433</v>
      </c>
      <c r="AN545" s="611" t="s">
        <v>2434</v>
      </c>
      <c r="AO545" s="611" t="s">
        <v>2435</v>
      </c>
      <c r="AP545" s="616" t="s">
        <v>2436</v>
      </c>
      <c r="AQ545" s="637" t="s">
        <v>2437</v>
      </c>
      <c r="AR545" s="619" t="s">
        <v>340</v>
      </c>
      <c r="AS545" s="618"/>
      <c r="AU545" s="189"/>
      <c r="AV545" s="189"/>
      <c r="AW545" s="189"/>
      <c r="AX545" s="521"/>
      <c r="AY545" s="507"/>
      <c r="AZ545" s="189"/>
      <c r="BA545" s="189"/>
      <c r="BB545" s="189"/>
      <c r="BC545" s="517"/>
      <c r="BD545" s="189"/>
      <c r="BF545" s="445"/>
    </row>
    <row r="546" spans="1:58" ht="18.75" customHeight="1">
      <c r="A546" s="485" t="s">
        <v>156</v>
      </c>
      <c r="B546" s="333"/>
      <c r="C546" s="271" t="s">
        <v>2438</v>
      </c>
      <c r="D546" s="827"/>
      <c r="E546" s="270"/>
      <c r="F546" s="491"/>
      <c r="G546" s="360"/>
      <c r="H546" s="360"/>
      <c r="I546" s="360"/>
      <c r="J546" s="357"/>
      <c r="K546" s="488">
        <f>K547+K552+K554+K555+K559+K560+K561+K562+K563+K565+K566+K567+K568+K570+K571+K553+K557+K558+K556+K569+K548+K549+K550+K551+K572+K564</f>
        <v>0</v>
      </c>
      <c r="L546" s="489"/>
      <c r="M546" s="488">
        <f>M547+M552+M554+M555+M559+M560+M561+M562+M563+M565+M566+M567+M568+M570+M571+M553+M557+M558+M556+M569+M548+M549+M550+M551+M572+M564</f>
        <v>0</v>
      </c>
      <c r="N546" s="489"/>
      <c r="O546" s="488">
        <f>O547+O552+O553+O554+O555+O556+O557+O558+O559+O560+O561+O562+O563+O565+O566+O567+O568+O569+O570+O571+O548+O549+O550+O551+O572+O564</f>
        <v>0</v>
      </c>
      <c r="P546" s="489"/>
      <c r="Q546" s="488">
        <f>Q547+Q552+Q554+Q555+Q559+Q560+Q561+Q562+Q563+Q565+Q566+Q567+Q568+Q570+Q571+Q553+Q557+Q558+Q556+Q569+Q548+Q549+Q550+Q551+Q572+Q564</f>
        <v>0</v>
      </c>
      <c r="R546" s="489"/>
      <c r="S546" s="488">
        <f>S547+S552+S554+S555+S559+S560+S561+S562+S563+S565+S566+S567+S568+S570+S571+S553+S557+S558+S556+S569+S548+S549+S550+S551+S572+S564</f>
        <v>0</v>
      </c>
      <c r="T546" s="313"/>
      <c r="U546" s="313">
        <f>U547+U552+U554+U555+U559+U560+U561+U562+U563+U565+U566+U567+U568+U570+U571+U557+U558+U548+U549+U550+U551</f>
        <v>0</v>
      </c>
      <c r="V546" s="293"/>
      <c r="W546" s="293"/>
      <c r="Y546" s="562"/>
      <c r="Z546" s="293"/>
      <c r="AA546" s="772"/>
      <c r="AB546" s="543"/>
      <c r="AC546" s="543"/>
      <c r="AD546" s="716"/>
      <c r="AE546" s="716"/>
      <c r="AF546" s="701"/>
      <c r="AG546" s="701"/>
      <c r="AH546" s="546"/>
      <c r="AI546" s="675"/>
      <c r="AJ546" s="293"/>
      <c r="AK546" s="563"/>
      <c r="AL546" s="554"/>
      <c r="AM546" s="562"/>
      <c r="AN546" s="293"/>
      <c r="AO546" s="293"/>
      <c r="AP546" s="293"/>
      <c r="AQ546" s="293"/>
      <c r="AR546" s="293"/>
      <c r="AS546" s="563"/>
      <c r="AU546" s="293"/>
      <c r="AV546" s="293"/>
      <c r="AW546" s="293"/>
      <c r="AX546" s="293"/>
      <c r="AY546" s="293"/>
      <c r="AZ546" s="293"/>
      <c r="BA546" s="293"/>
      <c r="BB546" s="293"/>
      <c r="BC546" s="293"/>
      <c r="BD546" s="293"/>
      <c r="BF546" s="445"/>
    </row>
    <row r="547" spans="1:58" ht="17.25" customHeight="1">
      <c r="A547" s="116"/>
      <c r="B547" s="100"/>
      <c r="C547" s="251" t="s">
        <v>2439</v>
      </c>
      <c r="D547" s="826"/>
      <c r="E547" s="110"/>
      <c r="F547" s="254"/>
      <c r="G547" s="190"/>
      <c r="H547" s="190"/>
      <c r="I547" s="190"/>
      <c r="J547" s="238">
        <v>0</v>
      </c>
      <c r="K547" s="104">
        <f t="shared" ref="K547" si="431">J547*F547</f>
        <v>0</v>
      </c>
      <c r="L547" s="238">
        <v>0</v>
      </c>
      <c r="M547" s="104">
        <f t="shared" ref="M547" si="432">L547*F547</f>
        <v>0</v>
      </c>
      <c r="N547" s="238">
        <v>0</v>
      </c>
      <c r="O547" s="104">
        <f t="shared" ref="O547" si="433">N547*F547</f>
        <v>0</v>
      </c>
      <c r="P547" s="238">
        <v>0</v>
      </c>
      <c r="Q547" s="104">
        <f t="shared" ref="Q547" si="434">P547*F547</f>
        <v>0</v>
      </c>
      <c r="R547" s="238">
        <v>0</v>
      </c>
      <c r="S547" s="104">
        <f t="shared" ref="S547" si="435">R547*F547</f>
        <v>0</v>
      </c>
      <c r="T547" s="105"/>
      <c r="U547" s="105">
        <f t="shared" ref="U547" si="436">T547*F547</f>
        <v>0</v>
      </c>
      <c r="V547" s="106"/>
      <c r="W547" s="301"/>
      <c r="Y547" s="567"/>
      <c r="Z547" s="189"/>
      <c r="AA547" s="773"/>
      <c r="AB547" s="540"/>
      <c r="AC547" s="540"/>
      <c r="AD547" s="712"/>
      <c r="AE547" s="712"/>
      <c r="AF547" s="700"/>
      <c r="AG547" s="700"/>
      <c r="AH547" s="547"/>
      <c r="AI547" s="478"/>
      <c r="AJ547" s="189"/>
      <c r="AK547" s="568"/>
      <c r="AM547" s="661"/>
      <c r="AN547" s="662"/>
      <c r="AO547" s="662"/>
      <c r="AP547" s="616"/>
      <c r="AQ547" s="609"/>
      <c r="AR547" s="621"/>
      <c r="AS547" s="618"/>
      <c r="AU547" s="189"/>
      <c r="AV547" s="189"/>
      <c r="AW547" s="189"/>
      <c r="AX547" s="521"/>
      <c r="AY547" s="507"/>
      <c r="AZ547" s="189"/>
      <c r="BA547" s="189"/>
      <c r="BB547" s="189"/>
      <c r="BC547" s="517"/>
      <c r="BD547" s="189"/>
      <c r="BF547" s="445"/>
    </row>
    <row r="548" spans="1:58" ht="19.5" customHeight="1">
      <c r="A548" s="116">
        <v>4627186341381</v>
      </c>
      <c r="B548" s="100">
        <v>3740</v>
      </c>
      <c r="C548" s="256" t="s">
        <v>2440</v>
      </c>
      <c r="D548" s="120"/>
      <c r="E548" s="110"/>
      <c r="F548" s="254"/>
      <c r="G548" s="190"/>
      <c r="H548" s="190"/>
      <c r="I548" s="190"/>
      <c r="J548" s="238">
        <v>85</v>
      </c>
      <c r="K548" s="104">
        <f>J548*F548</f>
        <v>0</v>
      </c>
      <c r="L548" s="238">
        <v>72</v>
      </c>
      <c r="M548" s="104">
        <f>L548*F548</f>
        <v>0</v>
      </c>
      <c r="N548" s="238">
        <v>75</v>
      </c>
      <c r="O548" s="104">
        <f>N548*F548</f>
        <v>0</v>
      </c>
      <c r="P548" s="238">
        <v>78</v>
      </c>
      <c r="Q548" s="104">
        <f>P548*F548</f>
        <v>0</v>
      </c>
      <c r="R548" s="238">
        <v>85</v>
      </c>
      <c r="S548" s="104">
        <f>R548*F548</f>
        <v>0</v>
      </c>
      <c r="T548" s="105"/>
      <c r="U548" s="105">
        <f>T548*F548</f>
        <v>0</v>
      </c>
      <c r="V548" s="106"/>
      <c r="W548" s="301">
        <v>160</v>
      </c>
      <c r="Y548" s="567"/>
      <c r="Z548" s="189"/>
      <c r="AA548" s="773"/>
      <c r="AB548" s="540"/>
      <c r="AC548" s="540"/>
      <c r="AD548" s="712"/>
      <c r="AE548" s="712"/>
      <c r="AF548" s="700"/>
      <c r="AG548" s="700"/>
      <c r="AH548" s="547"/>
      <c r="AI548" s="478"/>
      <c r="AJ548" s="189"/>
      <c r="AK548" s="568"/>
      <c r="AM548" s="661"/>
      <c r="AN548" s="662"/>
      <c r="AO548" s="662"/>
      <c r="AP548" s="616"/>
      <c r="AQ548" s="609"/>
      <c r="AR548" s="621"/>
      <c r="AS548" s="618"/>
      <c r="AU548" s="189"/>
      <c r="AV548" s="189"/>
      <c r="AW548" s="189"/>
      <c r="AX548" s="521"/>
      <c r="AY548" s="507"/>
      <c r="AZ548" s="189"/>
      <c r="BA548" s="189"/>
      <c r="BB548" s="189"/>
      <c r="BC548" s="517"/>
      <c r="BD548" s="189"/>
      <c r="BF548" s="445"/>
    </row>
    <row r="549" spans="1:58" ht="16.149999999999999" customHeight="1">
      <c r="A549" s="116">
        <v>4627186341398</v>
      </c>
      <c r="B549" s="100">
        <v>3741</v>
      </c>
      <c r="C549" s="425" t="s">
        <v>2441</v>
      </c>
      <c r="D549" s="168"/>
      <c r="E549" s="110"/>
      <c r="F549" s="254"/>
      <c r="G549" s="190"/>
      <c r="H549" s="190"/>
      <c r="I549" s="190"/>
      <c r="J549" s="238">
        <v>90</v>
      </c>
      <c r="K549" s="104">
        <f>J549*F549</f>
        <v>0</v>
      </c>
      <c r="L549" s="238">
        <v>74</v>
      </c>
      <c r="M549" s="104">
        <f>L549*F549</f>
        <v>0</v>
      </c>
      <c r="N549" s="238">
        <v>77</v>
      </c>
      <c r="O549" s="104">
        <f>N549*F549</f>
        <v>0</v>
      </c>
      <c r="P549" s="238">
        <v>81</v>
      </c>
      <c r="Q549" s="104">
        <f>P549*F549</f>
        <v>0</v>
      </c>
      <c r="R549" s="238">
        <v>88</v>
      </c>
      <c r="S549" s="104">
        <f>R549*F549</f>
        <v>0</v>
      </c>
      <c r="T549" s="105"/>
      <c r="U549" s="105">
        <f>T549*F549</f>
        <v>0</v>
      </c>
      <c r="V549" s="106"/>
      <c r="W549" s="301">
        <v>170</v>
      </c>
      <c r="Y549" s="567"/>
      <c r="Z549" s="189"/>
      <c r="AA549" s="773"/>
      <c r="AB549" s="540"/>
      <c r="AC549" s="540"/>
      <c r="AD549" s="712"/>
      <c r="AE549" s="712"/>
      <c r="AF549" s="700"/>
      <c r="AG549" s="700"/>
      <c r="AH549" s="547"/>
      <c r="AI549" s="478"/>
      <c r="AJ549" s="189"/>
      <c r="AK549" s="568"/>
      <c r="AM549" s="661"/>
      <c r="AN549" s="662"/>
      <c r="AO549" s="662"/>
      <c r="AP549" s="616"/>
      <c r="AQ549" s="609"/>
      <c r="AR549" s="621"/>
      <c r="AS549" s="618"/>
      <c r="AU549" s="189"/>
      <c r="AV549" s="189"/>
      <c r="AW549" s="189"/>
      <c r="AX549" s="521"/>
      <c r="AY549" s="507"/>
      <c r="AZ549" s="189"/>
      <c r="BA549" s="189"/>
      <c r="BB549" s="189"/>
      <c r="BC549" s="517"/>
      <c r="BD549" s="189"/>
      <c r="BF549" s="445"/>
    </row>
    <row r="550" spans="1:58" ht="22.5" customHeight="1">
      <c r="A550" s="116">
        <v>4627186341411</v>
      </c>
      <c r="B550" s="100">
        <v>3743</v>
      </c>
      <c r="C550" s="256" t="s">
        <v>2442</v>
      </c>
      <c r="D550" s="120"/>
      <c r="E550" s="110"/>
      <c r="F550" s="254"/>
      <c r="G550" s="190"/>
      <c r="H550" s="190"/>
      <c r="I550" s="190"/>
      <c r="J550" s="238">
        <v>140</v>
      </c>
      <c r="K550" s="104">
        <f>J550*F550</f>
        <v>0</v>
      </c>
      <c r="L550" s="238">
        <v>116</v>
      </c>
      <c r="M550" s="104">
        <f>L550*F550</f>
        <v>0</v>
      </c>
      <c r="N550" s="238">
        <v>121</v>
      </c>
      <c r="O550" s="104">
        <f>N550*F550</f>
        <v>0</v>
      </c>
      <c r="P550" s="238">
        <v>127</v>
      </c>
      <c r="Q550" s="104">
        <f>P550*F550</f>
        <v>0</v>
      </c>
      <c r="R550" s="238">
        <v>138</v>
      </c>
      <c r="S550" s="104">
        <f>R550*F550</f>
        <v>0</v>
      </c>
      <c r="T550" s="105"/>
      <c r="U550" s="105">
        <f>T550*F550</f>
        <v>0</v>
      </c>
      <c r="V550" s="106"/>
      <c r="W550" s="301">
        <v>265</v>
      </c>
      <c r="Y550" s="567"/>
      <c r="Z550" s="189"/>
      <c r="AA550" s="773"/>
      <c r="AB550" s="540"/>
      <c r="AC550" s="540"/>
      <c r="AD550" s="712"/>
      <c r="AE550" s="712"/>
      <c r="AF550" s="700"/>
      <c r="AG550" s="700"/>
      <c r="AH550" s="547"/>
      <c r="AI550" s="478"/>
      <c r="AJ550" s="189"/>
      <c r="AK550" s="568"/>
      <c r="AM550" s="661"/>
      <c r="AN550" s="662"/>
      <c r="AO550" s="662"/>
      <c r="AP550" s="616"/>
      <c r="AQ550" s="609"/>
      <c r="AR550" s="621"/>
      <c r="AS550" s="618"/>
      <c r="AU550" s="189"/>
      <c r="AV550" s="189"/>
      <c r="AW550" s="189"/>
      <c r="AX550" s="521"/>
      <c r="AY550" s="507"/>
      <c r="AZ550" s="189"/>
      <c r="BA550" s="189"/>
      <c r="BB550" s="189"/>
      <c r="BC550" s="517"/>
      <c r="BD550" s="189"/>
      <c r="BF550" s="445"/>
    </row>
    <row r="551" spans="1:58" ht="23.25" customHeight="1">
      <c r="A551" s="116">
        <v>4627186341404</v>
      </c>
      <c r="B551" s="100">
        <v>3744</v>
      </c>
      <c r="C551" s="256" t="s">
        <v>2443</v>
      </c>
      <c r="D551" s="120"/>
      <c r="E551" s="110"/>
      <c r="F551" s="254"/>
      <c r="G551" s="190"/>
      <c r="H551" s="190"/>
      <c r="I551" s="190"/>
      <c r="J551" s="238">
        <v>140</v>
      </c>
      <c r="K551" s="104">
        <f>J551*F551</f>
        <v>0</v>
      </c>
      <c r="L551" s="238">
        <v>116</v>
      </c>
      <c r="M551" s="104">
        <f>L551*F551</f>
        <v>0</v>
      </c>
      <c r="N551" s="238">
        <v>121</v>
      </c>
      <c r="O551" s="104">
        <f>N551*F551</f>
        <v>0</v>
      </c>
      <c r="P551" s="238">
        <v>127</v>
      </c>
      <c r="Q551" s="104">
        <f>P551*F551</f>
        <v>0</v>
      </c>
      <c r="R551" s="238">
        <v>138</v>
      </c>
      <c r="S551" s="104">
        <f>R551*F551</f>
        <v>0</v>
      </c>
      <c r="T551" s="105"/>
      <c r="U551" s="105">
        <f>T551*F551</f>
        <v>0</v>
      </c>
      <c r="V551" s="106"/>
      <c r="W551" s="301">
        <v>265</v>
      </c>
      <c r="Y551" s="567"/>
      <c r="Z551" s="189"/>
      <c r="AA551" s="773"/>
      <c r="AB551" s="540"/>
      <c r="AC551" s="540"/>
      <c r="AD551" s="712"/>
      <c r="AE551" s="712"/>
      <c r="AF551" s="700"/>
      <c r="AG551" s="700"/>
      <c r="AH551" s="547"/>
      <c r="AI551" s="478"/>
      <c r="AJ551" s="189"/>
      <c r="AK551" s="568"/>
      <c r="AM551" s="661"/>
      <c r="AN551" s="662"/>
      <c r="AO551" s="662"/>
      <c r="AP551" s="616"/>
      <c r="AQ551" s="609"/>
      <c r="AR551" s="621"/>
      <c r="AS551" s="618"/>
      <c r="AU551" s="189"/>
      <c r="AV551" s="189"/>
      <c r="AW551" s="189"/>
      <c r="AX551" s="521"/>
      <c r="AY551" s="507"/>
      <c r="AZ551" s="189"/>
      <c r="BA551" s="189"/>
      <c r="BB551" s="189"/>
      <c r="BC551" s="517"/>
      <c r="BD551" s="189"/>
      <c r="BF551" s="445"/>
    </row>
    <row r="552" spans="1:58" ht="19.5" customHeight="1">
      <c r="A552" s="116">
        <v>4627186340230</v>
      </c>
      <c r="B552" s="100">
        <v>3411</v>
      </c>
      <c r="C552" s="251" t="s">
        <v>2444</v>
      </c>
      <c r="D552" s="826"/>
      <c r="E552" s="110"/>
      <c r="F552" s="254"/>
      <c r="G552" s="426"/>
      <c r="H552" s="426"/>
      <c r="I552" s="426"/>
      <c r="J552" s="332">
        <v>55</v>
      </c>
      <c r="K552" s="318">
        <f t="shared" ref="K552:K555" si="437">J552*F552</f>
        <v>0</v>
      </c>
      <c r="L552" s="275">
        <f>J552+J552*5%</f>
        <v>57.75</v>
      </c>
      <c r="M552" s="318">
        <f t="shared" ref="M552:M555" si="438">L552*F552</f>
        <v>0</v>
      </c>
      <c r="N552" s="275">
        <f>J552+J552*10%</f>
        <v>60.5</v>
      </c>
      <c r="O552" s="318">
        <f t="shared" ref="O552:O555" si="439">N552*F552</f>
        <v>0</v>
      </c>
      <c r="P552" s="275">
        <f>J552+J552*15%</f>
        <v>63.25</v>
      </c>
      <c r="Q552" s="318">
        <f t="shared" ref="Q552:Q555" si="440">P552*F552</f>
        <v>0</v>
      </c>
      <c r="R552" s="275">
        <f>J552+J552*25%</f>
        <v>68.75</v>
      </c>
      <c r="S552" s="318">
        <f t="shared" ref="S552:S555" si="441">R552*F552</f>
        <v>0</v>
      </c>
      <c r="T552" s="105">
        <v>60</v>
      </c>
      <c r="U552" s="105">
        <f t="shared" ref="U552:U555" si="442">T552*F552</f>
        <v>0</v>
      </c>
      <c r="V552" s="106"/>
      <c r="W552" s="301">
        <v>100</v>
      </c>
      <c r="Y552" s="567"/>
      <c r="Z552" s="189"/>
      <c r="AA552" s="773"/>
      <c r="AB552" s="540"/>
      <c r="AC552" s="540"/>
      <c r="AD552" s="712"/>
      <c r="AE552" s="712"/>
      <c r="AF552" s="700"/>
      <c r="AG552" s="700"/>
      <c r="AH552" s="547"/>
      <c r="AI552" s="478"/>
      <c r="AJ552" s="189"/>
      <c r="AK552" s="568"/>
      <c r="AM552" s="661"/>
      <c r="AN552" s="662"/>
      <c r="AO552" s="662"/>
      <c r="AP552" s="616"/>
      <c r="AQ552" s="609"/>
      <c r="AR552" s="621"/>
      <c r="AS552" s="618"/>
      <c r="AU552" s="189"/>
      <c r="AV552" s="189"/>
      <c r="AW552" s="189"/>
      <c r="AX552" s="521"/>
      <c r="AY552" s="507"/>
      <c r="AZ552" s="189"/>
      <c r="BA552" s="189"/>
      <c r="BB552" s="189"/>
      <c r="BC552" s="517"/>
      <c r="BD552" s="189"/>
      <c r="BF552" s="445"/>
    </row>
    <row r="553" spans="1:58" ht="26.25" customHeight="1">
      <c r="A553" s="116">
        <v>4627186340421</v>
      </c>
      <c r="B553" s="100">
        <v>3530</v>
      </c>
      <c r="C553" s="251" t="s">
        <v>2445</v>
      </c>
      <c r="D553" s="826"/>
      <c r="E553" s="110"/>
      <c r="F553" s="254"/>
      <c r="G553" s="426"/>
      <c r="H553" s="426"/>
      <c r="I553" s="426"/>
      <c r="J553" s="332">
        <v>75</v>
      </c>
      <c r="K553" s="318">
        <f t="shared" si="437"/>
        <v>0</v>
      </c>
      <c r="L553" s="275">
        <f t="shared" ref="L553:L572" si="443">J553+J553*5%</f>
        <v>78.75</v>
      </c>
      <c r="M553" s="318">
        <f t="shared" si="438"/>
        <v>0</v>
      </c>
      <c r="N553" s="275">
        <f t="shared" ref="N553:N570" si="444">J553+J553*10%</f>
        <v>82.5</v>
      </c>
      <c r="O553" s="318">
        <f t="shared" si="439"/>
        <v>0</v>
      </c>
      <c r="P553" s="275">
        <f t="shared" ref="P553:P572" si="445">J553+J553*15%</f>
        <v>86.25</v>
      </c>
      <c r="Q553" s="318">
        <f t="shared" si="440"/>
        <v>0</v>
      </c>
      <c r="R553" s="275">
        <f t="shared" ref="R553:R572" si="446">J553+J553*25%</f>
        <v>93.75</v>
      </c>
      <c r="S553" s="318">
        <f t="shared" si="441"/>
        <v>0</v>
      </c>
      <c r="T553" s="105">
        <v>70</v>
      </c>
      <c r="U553" s="105">
        <f t="shared" si="442"/>
        <v>0</v>
      </c>
      <c r="V553" s="106"/>
      <c r="W553" s="301">
        <v>140</v>
      </c>
      <c r="Y553" s="567"/>
      <c r="Z553" s="189"/>
      <c r="AA553" s="773"/>
      <c r="AB553" s="540"/>
      <c r="AC553" s="540"/>
      <c r="AD553" s="712"/>
      <c r="AE553" s="712"/>
      <c r="AF553" s="700"/>
      <c r="AG553" s="700"/>
      <c r="AH553" s="547"/>
      <c r="AI553" s="478"/>
      <c r="AJ553" s="189"/>
      <c r="AK553" s="568"/>
      <c r="AM553" s="661"/>
      <c r="AN553" s="662"/>
      <c r="AO553" s="662"/>
      <c r="AP553" s="616"/>
      <c r="AQ553" s="609"/>
      <c r="AR553" s="621"/>
      <c r="AS553" s="618"/>
      <c r="AU553" s="189"/>
      <c r="AV553" s="189"/>
      <c r="AW553" s="189"/>
      <c r="AX553" s="521"/>
      <c r="AY553" s="507"/>
      <c r="AZ553" s="189"/>
      <c r="BA553" s="189"/>
      <c r="BB553" s="189"/>
      <c r="BC553" s="517"/>
      <c r="BD553" s="189"/>
      <c r="BF553" s="445"/>
    </row>
    <row r="554" spans="1:58" ht="24.75" customHeight="1">
      <c r="A554" s="116">
        <v>4627186340247</v>
      </c>
      <c r="B554" s="100">
        <v>3414</v>
      </c>
      <c r="C554" s="251" t="s">
        <v>149</v>
      </c>
      <c r="D554" s="826"/>
      <c r="E554" s="110"/>
      <c r="F554" s="254"/>
      <c r="G554" s="426"/>
      <c r="H554" s="426"/>
      <c r="I554" s="426"/>
      <c r="J554" s="332">
        <v>75</v>
      </c>
      <c r="K554" s="318">
        <f t="shared" si="437"/>
        <v>0</v>
      </c>
      <c r="L554" s="275">
        <f t="shared" si="443"/>
        <v>78.75</v>
      </c>
      <c r="M554" s="318">
        <f t="shared" si="438"/>
        <v>0</v>
      </c>
      <c r="N554" s="275">
        <f t="shared" si="444"/>
        <v>82.5</v>
      </c>
      <c r="O554" s="318">
        <f t="shared" si="439"/>
        <v>0</v>
      </c>
      <c r="P554" s="275">
        <f t="shared" si="445"/>
        <v>86.25</v>
      </c>
      <c r="Q554" s="318">
        <f t="shared" si="440"/>
        <v>0</v>
      </c>
      <c r="R554" s="275">
        <f t="shared" si="446"/>
        <v>93.75</v>
      </c>
      <c r="S554" s="318">
        <f t="shared" si="441"/>
        <v>0</v>
      </c>
      <c r="T554" s="105">
        <v>62</v>
      </c>
      <c r="U554" s="105">
        <f t="shared" si="442"/>
        <v>0</v>
      </c>
      <c r="V554" s="106"/>
      <c r="W554" s="301">
        <v>142.5</v>
      </c>
      <c r="Y554" s="567"/>
      <c r="Z554" s="189"/>
      <c r="AA554" s="773"/>
      <c r="AB554" s="540"/>
      <c r="AC554" s="540"/>
      <c r="AD554" s="712"/>
      <c r="AE554" s="712"/>
      <c r="AF554" s="700"/>
      <c r="AG554" s="700"/>
      <c r="AH554" s="547"/>
      <c r="AI554" s="478"/>
      <c r="AJ554" s="189"/>
      <c r="AK554" s="568"/>
      <c r="AM554" s="661"/>
      <c r="AN554" s="662"/>
      <c r="AO554" s="662"/>
      <c r="AP554" s="616"/>
      <c r="AQ554" s="609"/>
      <c r="AR554" s="621"/>
      <c r="AS554" s="618"/>
      <c r="AU554" s="189"/>
      <c r="AV554" s="189"/>
      <c r="AW554" s="189"/>
      <c r="AX554" s="521"/>
      <c r="AY554" s="507"/>
      <c r="AZ554" s="189"/>
      <c r="BA554" s="189"/>
      <c r="BB554" s="189"/>
      <c r="BC554" s="517"/>
      <c r="BD554" s="189"/>
      <c r="BF554" s="445"/>
    </row>
    <row r="555" spans="1:58" ht="23.25" customHeight="1">
      <c r="A555" s="116">
        <v>4627186340254</v>
      </c>
      <c r="B555" s="100">
        <v>3413</v>
      </c>
      <c r="C555" s="251" t="s">
        <v>2446</v>
      </c>
      <c r="D555" s="826"/>
      <c r="E555" s="110"/>
      <c r="F555" s="254"/>
      <c r="G555" s="426"/>
      <c r="H555" s="426"/>
      <c r="I555" s="426"/>
      <c r="J555" s="332">
        <v>75</v>
      </c>
      <c r="K555" s="318">
        <f t="shared" si="437"/>
        <v>0</v>
      </c>
      <c r="L555" s="275">
        <f t="shared" si="443"/>
        <v>78.75</v>
      </c>
      <c r="M555" s="318">
        <f t="shared" si="438"/>
        <v>0</v>
      </c>
      <c r="N555" s="275">
        <f t="shared" si="444"/>
        <v>82.5</v>
      </c>
      <c r="O555" s="318">
        <f t="shared" si="439"/>
        <v>0</v>
      </c>
      <c r="P555" s="275">
        <f t="shared" si="445"/>
        <v>86.25</v>
      </c>
      <c r="Q555" s="318">
        <f t="shared" si="440"/>
        <v>0</v>
      </c>
      <c r="R555" s="275">
        <f t="shared" si="446"/>
        <v>93.75</v>
      </c>
      <c r="S555" s="318">
        <f t="shared" si="441"/>
        <v>0</v>
      </c>
      <c r="T555" s="105">
        <v>62</v>
      </c>
      <c r="U555" s="105">
        <f t="shared" si="442"/>
        <v>0</v>
      </c>
      <c r="V555" s="106"/>
      <c r="W555" s="301">
        <v>142.5</v>
      </c>
      <c r="Y555" s="567"/>
      <c r="Z555" s="189"/>
      <c r="AA555" s="773"/>
      <c r="AB555" s="540"/>
      <c r="AC555" s="540"/>
      <c r="AD555" s="712"/>
      <c r="AE555" s="712"/>
      <c r="AF555" s="700"/>
      <c r="AG555" s="700"/>
      <c r="AH555" s="547"/>
      <c r="AI555" s="478"/>
      <c r="AJ555" s="189"/>
      <c r="AK555" s="568"/>
      <c r="AM555" s="661"/>
      <c r="AN555" s="662"/>
      <c r="AO555" s="662"/>
      <c r="AP555" s="616"/>
      <c r="AQ555" s="609"/>
      <c r="AR555" s="621"/>
      <c r="AS555" s="618"/>
      <c r="AU555" s="189"/>
      <c r="AV555" s="189"/>
      <c r="AW555" s="189"/>
      <c r="AX555" s="521"/>
      <c r="AY555" s="507"/>
      <c r="AZ555" s="189"/>
      <c r="BA555" s="189"/>
      <c r="BB555" s="189"/>
      <c r="BC555" s="517"/>
      <c r="BD555" s="189"/>
      <c r="BF555" s="445"/>
    </row>
    <row r="556" spans="1:58" ht="28.5" customHeight="1">
      <c r="A556" s="116">
        <v>4627186340988</v>
      </c>
      <c r="B556" s="100">
        <v>3684</v>
      </c>
      <c r="C556" s="251" t="s">
        <v>152</v>
      </c>
      <c r="D556" s="826"/>
      <c r="E556" s="110"/>
      <c r="F556" s="254"/>
      <c r="G556" s="426"/>
      <c r="H556" s="426"/>
      <c r="I556" s="426"/>
      <c r="J556" s="332">
        <v>75</v>
      </c>
      <c r="K556" s="318">
        <f t="shared" ref="K556:K569" si="447">J556*F556</f>
        <v>0</v>
      </c>
      <c r="L556" s="275">
        <f t="shared" si="443"/>
        <v>78.75</v>
      </c>
      <c r="M556" s="318">
        <f t="shared" ref="M556" si="448">L556*F556</f>
        <v>0</v>
      </c>
      <c r="N556" s="275">
        <f t="shared" si="444"/>
        <v>82.5</v>
      </c>
      <c r="O556" s="318">
        <f t="shared" ref="O556:O558" si="449">N556*F556</f>
        <v>0</v>
      </c>
      <c r="P556" s="275">
        <f t="shared" si="445"/>
        <v>86.25</v>
      </c>
      <c r="Q556" s="318">
        <f t="shared" ref="Q556" si="450">P556*F556</f>
        <v>0</v>
      </c>
      <c r="R556" s="275">
        <f t="shared" si="446"/>
        <v>93.75</v>
      </c>
      <c r="S556" s="318">
        <f t="shared" ref="S556:S558" si="451">R556*F556</f>
        <v>0</v>
      </c>
      <c r="T556" s="105">
        <v>62</v>
      </c>
      <c r="U556" s="105">
        <f t="shared" ref="U556:U564" si="452">T556*F556</f>
        <v>0</v>
      </c>
      <c r="V556" s="106"/>
      <c r="W556" s="301">
        <v>142.5</v>
      </c>
      <c r="Y556" s="567"/>
      <c r="Z556" s="189"/>
      <c r="AA556" s="773"/>
      <c r="AB556" s="540"/>
      <c r="AC556" s="540"/>
      <c r="AD556" s="712"/>
      <c r="AE556" s="712"/>
      <c r="AF556" s="700"/>
      <c r="AG556" s="700"/>
      <c r="AH556" s="547"/>
      <c r="AI556" s="478"/>
      <c r="AJ556" s="189"/>
      <c r="AK556" s="568"/>
      <c r="AM556" s="661"/>
      <c r="AN556" s="662"/>
      <c r="AO556" s="662"/>
      <c r="AP556" s="616"/>
      <c r="AQ556" s="609"/>
      <c r="AR556" s="621"/>
      <c r="AS556" s="618"/>
      <c r="AU556" s="189"/>
      <c r="AV556" s="189"/>
      <c r="AW556" s="189"/>
      <c r="AX556" s="521"/>
      <c r="AY556" s="507"/>
      <c r="AZ556" s="189"/>
      <c r="BA556" s="189"/>
      <c r="BB556" s="189"/>
      <c r="BC556" s="517"/>
      <c r="BD556" s="189"/>
      <c r="BF556" s="445"/>
    </row>
    <row r="557" spans="1:58" ht="20.25" customHeight="1">
      <c r="A557" s="116">
        <v>4627186340445</v>
      </c>
      <c r="B557" s="100">
        <v>3533</v>
      </c>
      <c r="C557" s="251" t="s">
        <v>2447</v>
      </c>
      <c r="D557" s="826"/>
      <c r="E557" s="110"/>
      <c r="F557" s="254"/>
      <c r="G557" s="426"/>
      <c r="H557" s="426"/>
      <c r="I557" s="426"/>
      <c r="J557" s="332">
        <v>75</v>
      </c>
      <c r="K557" s="318">
        <f t="shared" si="447"/>
        <v>0</v>
      </c>
      <c r="L557" s="275">
        <f t="shared" si="443"/>
        <v>78.75</v>
      </c>
      <c r="M557" s="318">
        <f>+M558</f>
        <v>0</v>
      </c>
      <c r="N557" s="275">
        <f t="shared" si="444"/>
        <v>82.5</v>
      </c>
      <c r="O557" s="318">
        <f t="shared" si="449"/>
        <v>0</v>
      </c>
      <c r="P557" s="275">
        <f t="shared" si="445"/>
        <v>86.25</v>
      </c>
      <c r="Q557" s="318">
        <f>O557*F557</f>
        <v>0</v>
      </c>
      <c r="R557" s="275">
        <f t="shared" si="446"/>
        <v>93.75</v>
      </c>
      <c r="S557" s="318">
        <f t="shared" si="451"/>
        <v>0</v>
      </c>
      <c r="T557" s="105">
        <v>70</v>
      </c>
      <c r="U557" s="105">
        <f t="shared" si="452"/>
        <v>0</v>
      </c>
      <c r="V557" s="106"/>
      <c r="W557" s="301">
        <v>140</v>
      </c>
      <c r="Y557" s="567"/>
      <c r="Z557" s="189"/>
      <c r="AA557" s="773"/>
      <c r="AB557" s="540"/>
      <c r="AC557" s="540"/>
      <c r="AD557" s="712"/>
      <c r="AE557" s="712"/>
      <c r="AF557" s="700"/>
      <c r="AG557" s="700"/>
      <c r="AH557" s="547"/>
      <c r="AI557" s="478"/>
      <c r="AJ557" s="189"/>
      <c r="AK557" s="568"/>
      <c r="AM557" s="661"/>
      <c r="AN557" s="662"/>
      <c r="AO557" s="662"/>
      <c r="AP557" s="616"/>
      <c r="AQ557" s="609"/>
      <c r="AR557" s="621"/>
      <c r="AS557" s="618"/>
      <c r="AU557" s="189"/>
      <c r="AV557" s="189"/>
      <c r="AW557" s="189"/>
      <c r="AX557" s="521"/>
      <c r="AY557" s="507"/>
      <c r="AZ557" s="189"/>
      <c r="BA557" s="189"/>
      <c r="BB557" s="189"/>
      <c r="BC557" s="517"/>
      <c r="BD557" s="189"/>
      <c r="BF557" s="445"/>
    </row>
    <row r="558" spans="1:58" ht="20.25" customHeight="1">
      <c r="A558" s="116">
        <v>4627186340438</v>
      </c>
      <c r="B558" s="100">
        <v>3532</v>
      </c>
      <c r="C558" s="251" t="s">
        <v>2448</v>
      </c>
      <c r="D558" s="826"/>
      <c r="E558" s="110"/>
      <c r="F558" s="254"/>
      <c r="G558" s="426"/>
      <c r="H558" s="426"/>
      <c r="I558" s="426"/>
      <c r="J558" s="332">
        <v>75</v>
      </c>
      <c r="K558" s="318">
        <f t="shared" si="447"/>
        <v>0</v>
      </c>
      <c r="L558" s="275">
        <f t="shared" si="443"/>
        <v>78.75</v>
      </c>
      <c r="M558" s="318">
        <f>L558*F558</f>
        <v>0</v>
      </c>
      <c r="N558" s="275">
        <f t="shared" si="444"/>
        <v>82.5</v>
      </c>
      <c r="O558" s="318">
        <f t="shared" si="449"/>
        <v>0</v>
      </c>
      <c r="P558" s="275">
        <f t="shared" si="445"/>
        <v>86.25</v>
      </c>
      <c r="Q558" s="318">
        <f>O558*F558</f>
        <v>0</v>
      </c>
      <c r="R558" s="275">
        <f t="shared" si="446"/>
        <v>93.75</v>
      </c>
      <c r="S558" s="318">
        <f t="shared" si="451"/>
        <v>0</v>
      </c>
      <c r="T558" s="105">
        <v>70</v>
      </c>
      <c r="U558" s="105">
        <f t="shared" si="452"/>
        <v>0</v>
      </c>
      <c r="V558" s="106"/>
      <c r="W558" s="301">
        <v>140</v>
      </c>
      <c r="Y558" s="567"/>
      <c r="Z558" s="189"/>
      <c r="AA558" s="773"/>
      <c r="AB558" s="540"/>
      <c r="AC558" s="540"/>
      <c r="AD558" s="712"/>
      <c r="AE558" s="712"/>
      <c r="AF558" s="700"/>
      <c r="AG558" s="700"/>
      <c r="AH558" s="547"/>
      <c r="AI558" s="478"/>
      <c r="AJ558" s="189"/>
      <c r="AK558" s="568"/>
      <c r="AM558" s="661"/>
      <c r="AN558" s="662"/>
      <c r="AO558" s="662"/>
      <c r="AP558" s="616"/>
      <c r="AQ558" s="609"/>
      <c r="AR558" s="621"/>
      <c r="AS558" s="618"/>
      <c r="AU558" s="189"/>
      <c r="AV558" s="189"/>
      <c r="AW558" s="189"/>
      <c r="AX558" s="521"/>
      <c r="AY558" s="507"/>
      <c r="AZ558" s="189"/>
      <c r="BA558" s="189"/>
      <c r="BB558" s="189"/>
      <c r="BC558" s="517"/>
      <c r="BD558" s="189"/>
      <c r="BF558" s="445"/>
    </row>
    <row r="559" spans="1:58" ht="15.75" customHeight="1">
      <c r="A559" s="116">
        <v>4627101821295</v>
      </c>
      <c r="B559" s="427">
        <v>1296</v>
      </c>
      <c r="C559" s="251" t="s">
        <v>2449</v>
      </c>
      <c r="D559" s="826"/>
      <c r="E559" s="110"/>
      <c r="F559" s="249"/>
      <c r="G559" s="190"/>
      <c r="H559" s="190"/>
      <c r="I559" s="190"/>
      <c r="J559" s="315">
        <v>100</v>
      </c>
      <c r="K559" s="104">
        <f t="shared" si="447"/>
        <v>0</v>
      </c>
      <c r="L559" s="275">
        <f t="shared" si="443"/>
        <v>105</v>
      </c>
      <c r="M559" s="104">
        <f t="shared" ref="M559:M563" si="453">F559*L559</f>
        <v>0</v>
      </c>
      <c r="N559" s="275">
        <f t="shared" si="444"/>
        <v>110</v>
      </c>
      <c r="O559" s="104">
        <f t="shared" ref="O559:O563" si="454">F559*N559</f>
        <v>0</v>
      </c>
      <c r="P559" s="275">
        <f t="shared" si="445"/>
        <v>115</v>
      </c>
      <c r="Q559" s="104">
        <f t="shared" ref="Q559:Q563" si="455">F559*P559</f>
        <v>0</v>
      </c>
      <c r="R559" s="275">
        <f t="shared" si="446"/>
        <v>125</v>
      </c>
      <c r="S559" s="104">
        <f t="shared" ref="S559:S563" si="456">F559*R559</f>
        <v>0</v>
      </c>
      <c r="T559" s="105">
        <v>130</v>
      </c>
      <c r="U559" s="105">
        <f t="shared" si="452"/>
        <v>0</v>
      </c>
      <c r="V559" s="106"/>
      <c r="W559" s="301">
        <v>190</v>
      </c>
      <c r="Y559" s="567"/>
      <c r="Z559" s="189"/>
      <c r="AA559" s="773"/>
      <c r="AB559" s="540"/>
      <c r="AC559" s="540"/>
      <c r="AD559" s="712"/>
      <c r="AE559" s="712"/>
      <c r="AF559" s="700"/>
      <c r="AG559" s="700"/>
      <c r="AH559" s="547"/>
      <c r="AI559" s="478"/>
      <c r="AJ559" s="189"/>
      <c r="AK559" s="568"/>
      <c r="AM559" s="661"/>
      <c r="AN559" s="662"/>
      <c r="AO559" s="662"/>
      <c r="AP559" s="616"/>
      <c r="AQ559" s="609"/>
      <c r="AR559" s="621"/>
      <c r="AS559" s="618"/>
      <c r="AU559" s="189"/>
      <c r="AV559" s="189"/>
      <c r="AW559" s="189"/>
      <c r="AX559" s="521"/>
      <c r="AY559" s="507"/>
      <c r="AZ559" s="189"/>
      <c r="BA559" s="189"/>
      <c r="BB559" s="189"/>
      <c r="BC559" s="517"/>
      <c r="BD559" s="189"/>
      <c r="BF559" s="445"/>
    </row>
    <row r="560" spans="1:58" ht="15.75" customHeight="1">
      <c r="A560" s="116">
        <v>4627186343828</v>
      </c>
      <c r="B560" s="100">
        <v>4337</v>
      </c>
      <c r="C560" s="251" t="s">
        <v>2450</v>
      </c>
      <c r="D560" s="826"/>
      <c r="E560" s="110"/>
      <c r="F560" s="249"/>
      <c r="G560" s="190"/>
      <c r="H560" s="190"/>
      <c r="I560" s="190"/>
      <c r="J560" s="315">
        <v>14</v>
      </c>
      <c r="K560" s="104">
        <f t="shared" si="447"/>
        <v>0</v>
      </c>
      <c r="L560" s="275">
        <f t="shared" si="443"/>
        <v>14.7</v>
      </c>
      <c r="M560" s="104">
        <f>L560*F560</f>
        <v>0</v>
      </c>
      <c r="N560" s="275">
        <f t="shared" si="444"/>
        <v>15.4</v>
      </c>
      <c r="O560" s="104">
        <f>N560*F560</f>
        <v>0</v>
      </c>
      <c r="P560" s="275">
        <f t="shared" si="445"/>
        <v>16.100000000000001</v>
      </c>
      <c r="Q560" s="104">
        <f>P560*F560</f>
        <v>0</v>
      </c>
      <c r="R560" s="275">
        <f t="shared" si="446"/>
        <v>17.5</v>
      </c>
      <c r="S560" s="104">
        <f>R560*F560</f>
        <v>0</v>
      </c>
      <c r="T560" s="105"/>
      <c r="U560" s="105">
        <f>T560*F560</f>
        <v>0</v>
      </c>
      <c r="V560" s="106"/>
      <c r="W560" s="301">
        <v>26</v>
      </c>
      <c r="Y560" s="567"/>
      <c r="Z560" s="189"/>
      <c r="AA560" s="773"/>
      <c r="AB560" s="540"/>
      <c r="AC560" s="540"/>
      <c r="AD560" s="712"/>
      <c r="AE560" s="712"/>
      <c r="AF560" s="700"/>
      <c r="AG560" s="700"/>
      <c r="AH560" s="547"/>
      <c r="AI560" s="478"/>
      <c r="AJ560" s="189"/>
      <c r="AK560" s="568"/>
      <c r="AM560" s="661"/>
      <c r="AN560" s="662"/>
      <c r="AO560" s="662"/>
      <c r="AP560" s="616"/>
      <c r="AQ560" s="609"/>
      <c r="AR560" s="621"/>
      <c r="AS560" s="618"/>
      <c r="AU560" s="189"/>
      <c r="AV560" s="189"/>
      <c r="AW560" s="189"/>
      <c r="AX560" s="521"/>
      <c r="AY560" s="507"/>
      <c r="AZ560" s="189"/>
      <c r="BA560" s="189"/>
      <c r="BB560" s="189"/>
      <c r="BC560" s="517"/>
      <c r="BD560" s="189"/>
      <c r="BF560" s="445"/>
    </row>
    <row r="561" spans="1:58" ht="18" customHeight="1">
      <c r="A561" s="116">
        <v>4620748860887</v>
      </c>
      <c r="B561" s="427">
        <v>1345</v>
      </c>
      <c r="C561" s="251" t="s">
        <v>2451</v>
      </c>
      <c r="D561" s="826"/>
      <c r="E561" s="110"/>
      <c r="F561" s="248"/>
      <c r="G561" s="190"/>
      <c r="H561" s="190"/>
      <c r="I561" s="190"/>
      <c r="J561" s="315">
        <v>70</v>
      </c>
      <c r="K561" s="104">
        <f t="shared" si="447"/>
        <v>0</v>
      </c>
      <c r="L561" s="275">
        <f t="shared" si="443"/>
        <v>73.5</v>
      </c>
      <c r="M561" s="104">
        <f t="shared" si="453"/>
        <v>0</v>
      </c>
      <c r="N561" s="275">
        <f t="shared" si="444"/>
        <v>77</v>
      </c>
      <c r="O561" s="104">
        <f t="shared" si="454"/>
        <v>0</v>
      </c>
      <c r="P561" s="275">
        <f t="shared" si="445"/>
        <v>80.5</v>
      </c>
      <c r="Q561" s="104">
        <f t="shared" si="455"/>
        <v>0</v>
      </c>
      <c r="R561" s="275">
        <f t="shared" si="446"/>
        <v>87.5</v>
      </c>
      <c r="S561" s="104">
        <f t="shared" si="456"/>
        <v>0</v>
      </c>
      <c r="T561" s="105">
        <v>28</v>
      </c>
      <c r="U561" s="105">
        <f t="shared" si="452"/>
        <v>0</v>
      </c>
      <c r="V561" s="106"/>
      <c r="W561" s="301">
        <v>130</v>
      </c>
      <c r="Y561" s="567"/>
      <c r="Z561" s="189"/>
      <c r="AA561" s="773"/>
      <c r="AB561" s="540"/>
      <c r="AC561" s="540"/>
      <c r="AD561" s="712"/>
      <c r="AE561" s="712"/>
      <c r="AF561" s="700"/>
      <c r="AG561" s="700"/>
      <c r="AH561" s="547"/>
      <c r="AI561" s="478"/>
      <c r="AJ561" s="189"/>
      <c r="AK561" s="568"/>
      <c r="AM561" s="610" t="s">
        <v>2452</v>
      </c>
      <c r="AN561" s="611" t="s">
        <v>2453</v>
      </c>
      <c r="AO561" s="611" t="s">
        <v>2454</v>
      </c>
      <c r="AP561" s="612"/>
      <c r="AQ561" s="637" t="s">
        <v>2455</v>
      </c>
      <c r="AR561" s="619" t="s">
        <v>340</v>
      </c>
      <c r="AS561" s="615"/>
      <c r="AU561" s="189"/>
      <c r="AV561" s="189"/>
      <c r="AW561" s="189"/>
      <c r="AX561" s="521"/>
      <c r="AY561" s="507"/>
      <c r="AZ561" s="189"/>
      <c r="BA561" s="189"/>
      <c r="BB561" s="189"/>
      <c r="BC561" s="517"/>
      <c r="BD561" s="189"/>
      <c r="BF561" s="445"/>
    </row>
    <row r="562" spans="1:58" ht="15.75" customHeight="1">
      <c r="A562" s="116">
        <v>4620748862058</v>
      </c>
      <c r="B562" s="100">
        <v>1346</v>
      </c>
      <c r="C562" s="251" t="s">
        <v>2456</v>
      </c>
      <c r="D562" s="826"/>
      <c r="E562" s="110"/>
      <c r="F562" s="248"/>
      <c r="G562" s="190"/>
      <c r="H562" s="190"/>
      <c r="I562" s="190"/>
      <c r="J562" s="315">
        <v>105</v>
      </c>
      <c r="K562" s="104">
        <f t="shared" si="447"/>
        <v>0</v>
      </c>
      <c r="L562" s="275">
        <f t="shared" si="443"/>
        <v>110.25</v>
      </c>
      <c r="M562" s="104">
        <f t="shared" si="453"/>
        <v>0</v>
      </c>
      <c r="N562" s="275">
        <f t="shared" si="444"/>
        <v>115.5</v>
      </c>
      <c r="O562" s="104">
        <f t="shared" si="454"/>
        <v>0</v>
      </c>
      <c r="P562" s="275">
        <f t="shared" si="445"/>
        <v>120.75</v>
      </c>
      <c r="Q562" s="104">
        <f t="shared" si="455"/>
        <v>0</v>
      </c>
      <c r="R562" s="275">
        <f t="shared" si="446"/>
        <v>131.25</v>
      </c>
      <c r="S562" s="104">
        <f t="shared" si="456"/>
        <v>0</v>
      </c>
      <c r="T562" s="105">
        <v>35</v>
      </c>
      <c r="U562" s="105">
        <f t="shared" si="452"/>
        <v>0</v>
      </c>
      <c r="V562" s="106"/>
      <c r="W562" s="301">
        <v>195</v>
      </c>
      <c r="Y562" s="567"/>
      <c r="Z562" s="189"/>
      <c r="AA562" s="773"/>
      <c r="AB562" s="540"/>
      <c r="AC562" s="540"/>
      <c r="AD562" s="712"/>
      <c r="AE562" s="712"/>
      <c r="AF562" s="700"/>
      <c r="AG562" s="700"/>
      <c r="AH562" s="547"/>
      <c r="AI562" s="478"/>
      <c r="AJ562" s="189"/>
      <c r="AK562" s="568"/>
      <c r="AM562" s="610" t="s">
        <v>2452</v>
      </c>
      <c r="AN562" s="611" t="s">
        <v>2453</v>
      </c>
      <c r="AO562" s="611" t="s">
        <v>2454</v>
      </c>
      <c r="AP562" s="612"/>
      <c r="AQ562" s="609"/>
      <c r="AR562" s="619" t="s">
        <v>340</v>
      </c>
      <c r="AS562" s="615"/>
      <c r="AU562" s="189"/>
      <c r="AV562" s="189"/>
      <c r="AW562" s="189"/>
      <c r="AX562" s="521"/>
      <c r="AY562" s="507"/>
      <c r="AZ562" s="189"/>
      <c r="BA562" s="189"/>
      <c r="BB562" s="189"/>
      <c r="BC562" s="517"/>
      <c r="BD562" s="189"/>
      <c r="BF562" s="445"/>
    </row>
    <row r="563" spans="1:58" ht="16.5" customHeight="1">
      <c r="A563" s="116">
        <v>4620748862065</v>
      </c>
      <c r="B563" s="427">
        <v>1344</v>
      </c>
      <c r="C563" s="251" t="s">
        <v>2457</v>
      </c>
      <c r="D563" s="826"/>
      <c r="E563" s="110"/>
      <c r="F563" s="248"/>
      <c r="G563" s="190"/>
      <c r="H563" s="190"/>
      <c r="I563" s="190"/>
      <c r="J563" s="315">
        <v>140</v>
      </c>
      <c r="K563" s="104">
        <f t="shared" si="447"/>
        <v>0</v>
      </c>
      <c r="L563" s="275">
        <f t="shared" si="443"/>
        <v>147</v>
      </c>
      <c r="M563" s="104">
        <f t="shared" si="453"/>
        <v>0</v>
      </c>
      <c r="N563" s="275">
        <f t="shared" si="444"/>
        <v>154</v>
      </c>
      <c r="O563" s="104">
        <f t="shared" si="454"/>
        <v>0</v>
      </c>
      <c r="P563" s="275">
        <f t="shared" si="445"/>
        <v>161</v>
      </c>
      <c r="Q563" s="104">
        <f t="shared" si="455"/>
        <v>0</v>
      </c>
      <c r="R563" s="275">
        <f t="shared" si="446"/>
        <v>175</v>
      </c>
      <c r="S563" s="104">
        <f t="shared" si="456"/>
        <v>0</v>
      </c>
      <c r="T563" s="105">
        <v>50</v>
      </c>
      <c r="U563" s="105">
        <f t="shared" si="452"/>
        <v>0</v>
      </c>
      <c r="V563" s="106"/>
      <c r="W563" s="301">
        <v>265</v>
      </c>
      <c r="Y563" s="567"/>
      <c r="Z563" s="189"/>
      <c r="AA563" s="773"/>
      <c r="AB563" s="540"/>
      <c r="AC563" s="540"/>
      <c r="AD563" s="712"/>
      <c r="AE563" s="712"/>
      <c r="AF563" s="700"/>
      <c r="AG563" s="700"/>
      <c r="AH563" s="547"/>
      <c r="AI563" s="478"/>
      <c r="AJ563" s="189"/>
      <c r="AK563" s="568"/>
      <c r="AM563" s="610" t="s">
        <v>2452</v>
      </c>
      <c r="AN563" s="611" t="s">
        <v>2453</v>
      </c>
      <c r="AO563" s="611" t="s">
        <v>2454</v>
      </c>
      <c r="AP563" s="612"/>
      <c r="AQ563" s="609"/>
      <c r="AR563" s="619" t="s">
        <v>340</v>
      </c>
      <c r="AS563" s="615"/>
      <c r="AU563" s="189"/>
      <c r="AV563" s="189"/>
      <c r="AW563" s="189"/>
      <c r="AX563" s="521"/>
      <c r="AY563" s="507"/>
      <c r="AZ563" s="189"/>
      <c r="BA563" s="189"/>
      <c r="BB563" s="189"/>
      <c r="BC563" s="517"/>
      <c r="BD563" s="189"/>
      <c r="BF563" s="445"/>
    </row>
    <row r="564" spans="1:58" ht="16.5" customHeight="1">
      <c r="A564" s="116">
        <v>4627101821882</v>
      </c>
      <c r="B564" s="427">
        <v>1343</v>
      </c>
      <c r="C564" s="251" t="s">
        <v>2458</v>
      </c>
      <c r="D564" s="826"/>
      <c r="E564" s="110"/>
      <c r="F564" s="248"/>
      <c r="G564" s="190"/>
      <c r="H564" s="190"/>
      <c r="I564" s="190"/>
      <c r="J564" s="315">
        <v>200</v>
      </c>
      <c r="K564" s="104">
        <f t="shared" si="447"/>
        <v>0</v>
      </c>
      <c r="L564" s="275">
        <f t="shared" si="443"/>
        <v>210</v>
      </c>
      <c r="M564" s="104">
        <f>L564*F564</f>
        <v>0</v>
      </c>
      <c r="N564" s="275">
        <f t="shared" si="444"/>
        <v>220</v>
      </c>
      <c r="O564" s="104">
        <f>N564*F564</f>
        <v>0</v>
      </c>
      <c r="P564" s="275">
        <f t="shared" si="445"/>
        <v>230</v>
      </c>
      <c r="Q564" s="104">
        <f>P564*F564</f>
        <v>0</v>
      </c>
      <c r="R564" s="275">
        <f t="shared" si="446"/>
        <v>250</v>
      </c>
      <c r="S564" s="104">
        <f>R564*F564</f>
        <v>0</v>
      </c>
      <c r="T564" s="105">
        <v>50</v>
      </c>
      <c r="U564" s="105">
        <f t="shared" si="452"/>
        <v>0</v>
      </c>
      <c r="V564" s="106"/>
      <c r="W564" s="301">
        <v>380</v>
      </c>
      <c r="Y564" s="567"/>
      <c r="Z564" s="189"/>
      <c r="AA564" s="773"/>
      <c r="AB564" s="540"/>
      <c r="AC564" s="540"/>
      <c r="AD564" s="712"/>
      <c r="AE564" s="712"/>
      <c r="AF564" s="700"/>
      <c r="AG564" s="700"/>
      <c r="AH564" s="547"/>
      <c r="AI564" s="478"/>
      <c r="AJ564" s="189"/>
      <c r="AK564" s="568"/>
      <c r="AM564" s="610"/>
      <c r="AN564" s="611"/>
      <c r="AO564" s="611"/>
      <c r="AP564" s="612"/>
      <c r="AQ564" s="609"/>
      <c r="AR564" s="619"/>
      <c r="AS564" s="615"/>
      <c r="AU564" s="189"/>
      <c r="AV564" s="189"/>
      <c r="AW564" s="189"/>
      <c r="AX564" s="521"/>
      <c r="AY564" s="507"/>
      <c r="AZ564" s="189"/>
      <c r="BA564" s="189"/>
      <c r="BB564" s="189"/>
      <c r="BC564" s="517"/>
      <c r="BD564" s="189"/>
      <c r="BF564" s="445"/>
    </row>
    <row r="565" spans="1:58" ht="16.149999999999999" customHeight="1">
      <c r="A565" s="116">
        <v>4620748862867</v>
      </c>
      <c r="B565" s="428" t="s">
        <v>2459</v>
      </c>
      <c r="C565" s="251" t="s">
        <v>2460</v>
      </c>
      <c r="D565" s="826"/>
      <c r="E565" s="110"/>
      <c r="F565" s="248"/>
      <c r="G565" s="190"/>
      <c r="H565" s="190"/>
      <c r="I565" s="190"/>
      <c r="J565" s="315">
        <v>90</v>
      </c>
      <c r="K565" s="104">
        <f t="shared" si="447"/>
        <v>0</v>
      </c>
      <c r="L565" s="275">
        <f t="shared" si="443"/>
        <v>94.5</v>
      </c>
      <c r="M565" s="104">
        <f t="shared" ref="M565:M570" si="457">F565*L565</f>
        <v>0</v>
      </c>
      <c r="N565" s="275">
        <f t="shared" si="444"/>
        <v>99</v>
      </c>
      <c r="O565" s="104">
        <f t="shared" ref="O565:O570" si="458">F565*N565</f>
        <v>0</v>
      </c>
      <c r="P565" s="275">
        <f t="shared" si="445"/>
        <v>103.5</v>
      </c>
      <c r="Q565" s="104">
        <f t="shared" ref="Q565:Q570" si="459">F565*P565</f>
        <v>0</v>
      </c>
      <c r="R565" s="275">
        <f t="shared" si="446"/>
        <v>112.5</v>
      </c>
      <c r="S565" s="104">
        <f t="shared" ref="S565:S570" si="460">F565*R565</f>
        <v>0</v>
      </c>
      <c r="T565" s="105">
        <v>21</v>
      </c>
      <c r="U565" s="105">
        <f t="shared" ref="U565:U570" si="461">T565*F565</f>
        <v>0</v>
      </c>
      <c r="V565" s="106"/>
      <c r="W565" s="301">
        <v>170</v>
      </c>
      <c r="Y565" s="567"/>
      <c r="Z565" s="189"/>
      <c r="AA565" s="773"/>
      <c r="AB565" s="540"/>
      <c r="AC565" s="540"/>
      <c r="AD565" s="712"/>
      <c r="AE565" s="712"/>
      <c r="AF565" s="700"/>
      <c r="AG565" s="700"/>
      <c r="AH565" s="547"/>
      <c r="AI565" s="478"/>
      <c r="AJ565" s="189"/>
      <c r="AK565" s="568"/>
      <c r="AM565" s="610" t="s">
        <v>2461</v>
      </c>
      <c r="AN565" s="611" t="s">
        <v>2462</v>
      </c>
      <c r="AO565" s="611" t="s">
        <v>2463</v>
      </c>
      <c r="AP565" s="612"/>
      <c r="AQ565" s="609"/>
      <c r="AR565" s="619" t="s">
        <v>340</v>
      </c>
      <c r="AS565" s="615"/>
      <c r="AU565" s="189"/>
      <c r="AV565" s="189"/>
      <c r="AW565" s="189"/>
      <c r="AX565" s="521"/>
      <c r="AY565" s="507"/>
      <c r="AZ565" s="189"/>
      <c r="BA565" s="189"/>
      <c r="BB565" s="189"/>
      <c r="BC565" s="517"/>
      <c r="BD565" s="189"/>
      <c r="BF565" s="445"/>
    </row>
    <row r="566" spans="1:58" ht="15.75" customHeight="1">
      <c r="A566" s="116">
        <v>4620748860856</v>
      </c>
      <c r="B566" s="427">
        <v>1275</v>
      </c>
      <c r="C566" s="251" t="s">
        <v>2464</v>
      </c>
      <c r="D566" s="826"/>
      <c r="E566" s="110"/>
      <c r="F566" s="248"/>
      <c r="G566" s="190"/>
      <c r="H566" s="190"/>
      <c r="I566" s="190"/>
      <c r="J566" s="315">
        <v>70</v>
      </c>
      <c r="K566" s="104">
        <f t="shared" si="447"/>
        <v>0</v>
      </c>
      <c r="L566" s="275">
        <f t="shared" si="443"/>
        <v>73.5</v>
      </c>
      <c r="M566" s="104">
        <f t="shared" si="457"/>
        <v>0</v>
      </c>
      <c r="N566" s="275">
        <f t="shared" si="444"/>
        <v>77</v>
      </c>
      <c r="O566" s="104">
        <f t="shared" si="458"/>
        <v>0</v>
      </c>
      <c r="P566" s="275">
        <f t="shared" si="445"/>
        <v>80.5</v>
      </c>
      <c r="Q566" s="104">
        <f t="shared" si="459"/>
        <v>0</v>
      </c>
      <c r="R566" s="275">
        <f t="shared" si="446"/>
        <v>87.5</v>
      </c>
      <c r="S566" s="104">
        <f t="shared" si="460"/>
        <v>0</v>
      </c>
      <c r="T566" s="105">
        <v>32</v>
      </c>
      <c r="U566" s="105">
        <f t="shared" si="461"/>
        <v>0</v>
      </c>
      <c r="V566" s="106"/>
      <c r="W566" s="301">
        <v>130</v>
      </c>
      <c r="Y566" s="567"/>
      <c r="Z566" s="189"/>
      <c r="AA566" s="773"/>
      <c r="AB566" s="540"/>
      <c r="AC566" s="540"/>
      <c r="AD566" s="712"/>
      <c r="AE566" s="712"/>
      <c r="AF566" s="700"/>
      <c r="AG566" s="700"/>
      <c r="AH566" s="547"/>
      <c r="AI566" s="478"/>
      <c r="AJ566" s="189"/>
      <c r="AK566" s="568"/>
      <c r="AM566" s="610" t="s">
        <v>2461</v>
      </c>
      <c r="AN566" s="611" t="s">
        <v>2462</v>
      </c>
      <c r="AO566" s="611" t="s">
        <v>2463</v>
      </c>
      <c r="AP566" s="616"/>
      <c r="AQ566" s="637" t="s">
        <v>2465</v>
      </c>
      <c r="AR566" s="621"/>
      <c r="AS566" s="618"/>
      <c r="AU566" s="189"/>
      <c r="AV566" s="189"/>
      <c r="AW566" s="189"/>
      <c r="AX566" s="521"/>
      <c r="AY566" s="507"/>
      <c r="AZ566" s="189"/>
      <c r="BA566" s="189"/>
      <c r="BB566" s="189"/>
      <c r="BC566" s="517"/>
      <c r="BD566" s="189"/>
      <c r="BF566" s="445"/>
    </row>
    <row r="567" spans="1:58" ht="17.25" customHeight="1">
      <c r="A567" s="116">
        <v>4620748862959</v>
      </c>
      <c r="B567" s="100">
        <v>1511</v>
      </c>
      <c r="C567" s="251" t="s">
        <v>2466</v>
      </c>
      <c r="D567" s="826"/>
      <c r="E567" s="110"/>
      <c r="F567" s="248"/>
      <c r="G567" s="190"/>
      <c r="H567" s="190"/>
      <c r="I567" s="190"/>
      <c r="J567" s="315">
        <v>15</v>
      </c>
      <c r="K567" s="104">
        <f t="shared" si="447"/>
        <v>0</v>
      </c>
      <c r="L567" s="275">
        <f t="shared" si="443"/>
        <v>15.75</v>
      </c>
      <c r="M567" s="104">
        <f t="shared" si="457"/>
        <v>0</v>
      </c>
      <c r="N567" s="275">
        <f t="shared" si="444"/>
        <v>16.5</v>
      </c>
      <c r="O567" s="104">
        <f t="shared" si="458"/>
        <v>0</v>
      </c>
      <c r="P567" s="275">
        <f t="shared" si="445"/>
        <v>17.25</v>
      </c>
      <c r="Q567" s="104">
        <f t="shared" si="459"/>
        <v>0</v>
      </c>
      <c r="R567" s="275">
        <f t="shared" si="446"/>
        <v>18.75</v>
      </c>
      <c r="S567" s="104">
        <f t="shared" si="460"/>
        <v>0</v>
      </c>
      <c r="T567" s="105">
        <v>12</v>
      </c>
      <c r="U567" s="105">
        <f t="shared" si="461"/>
        <v>0</v>
      </c>
      <c r="V567" s="106"/>
      <c r="W567" s="301">
        <v>25</v>
      </c>
      <c r="Y567" s="567"/>
      <c r="Z567" s="189"/>
      <c r="AA567" s="773"/>
      <c r="AB567" s="540"/>
      <c r="AC567" s="540"/>
      <c r="AD567" s="712"/>
      <c r="AE567" s="712"/>
      <c r="AF567" s="700"/>
      <c r="AG567" s="700"/>
      <c r="AH567" s="547"/>
      <c r="AI567" s="478"/>
      <c r="AJ567" s="189"/>
      <c r="AK567" s="568"/>
      <c r="AM567" s="661"/>
      <c r="AN567" s="662"/>
      <c r="AO567" s="662"/>
      <c r="AP567" s="616"/>
      <c r="AQ567" s="609"/>
      <c r="AR567" s="621"/>
      <c r="AS567" s="618"/>
      <c r="AU567" s="189"/>
      <c r="AV567" s="189"/>
      <c r="AW567" s="189"/>
      <c r="AX567" s="521"/>
      <c r="AY567" s="507"/>
      <c r="AZ567" s="189"/>
      <c r="BA567" s="189"/>
      <c r="BB567" s="189"/>
      <c r="BC567" s="517"/>
      <c r="BD567" s="189"/>
      <c r="BF567" s="445"/>
    </row>
    <row r="568" spans="1:58" ht="18" customHeight="1">
      <c r="A568" s="116">
        <v>4627101821318</v>
      </c>
      <c r="B568" s="100">
        <v>1512</v>
      </c>
      <c r="C568" s="251" t="s">
        <v>2467</v>
      </c>
      <c r="D568" s="826"/>
      <c r="E568" s="110"/>
      <c r="F568" s="326"/>
      <c r="G568" s="426"/>
      <c r="H568" s="426"/>
      <c r="I568" s="426"/>
      <c r="J568" s="332">
        <v>40</v>
      </c>
      <c r="K568" s="318">
        <f t="shared" si="447"/>
        <v>0</v>
      </c>
      <c r="L568" s="275">
        <f t="shared" si="443"/>
        <v>42</v>
      </c>
      <c r="M568" s="318">
        <f t="shared" si="457"/>
        <v>0</v>
      </c>
      <c r="N568" s="275">
        <f t="shared" si="444"/>
        <v>44</v>
      </c>
      <c r="O568" s="318">
        <f t="shared" si="458"/>
        <v>0</v>
      </c>
      <c r="P568" s="275">
        <f t="shared" si="445"/>
        <v>46</v>
      </c>
      <c r="Q568" s="318">
        <f t="shared" si="459"/>
        <v>0</v>
      </c>
      <c r="R568" s="275">
        <f t="shared" si="446"/>
        <v>50</v>
      </c>
      <c r="S568" s="318">
        <f t="shared" si="460"/>
        <v>0</v>
      </c>
      <c r="T568" s="275">
        <v>27.5</v>
      </c>
      <c r="U568" s="275">
        <f t="shared" si="461"/>
        <v>0</v>
      </c>
      <c r="V568" s="390"/>
      <c r="W568" s="301">
        <v>75</v>
      </c>
      <c r="Y568" s="567"/>
      <c r="Z568" s="189"/>
      <c r="AA568" s="773"/>
      <c r="AB568" s="540"/>
      <c r="AC568" s="540"/>
      <c r="AD568" s="712"/>
      <c r="AE568" s="712"/>
      <c r="AF568" s="700"/>
      <c r="AG568" s="700"/>
      <c r="AH568" s="547"/>
      <c r="AI568" s="478"/>
      <c r="AJ568" s="189"/>
      <c r="AK568" s="574"/>
      <c r="AL568" s="446"/>
      <c r="AM568" s="661"/>
      <c r="AN568" s="662"/>
      <c r="AO568" s="662"/>
      <c r="AP568" s="616"/>
      <c r="AQ568" s="609"/>
      <c r="AR568" s="621"/>
      <c r="AS568" s="618"/>
      <c r="AU568" s="189"/>
      <c r="AV568" s="189"/>
      <c r="AW568" s="189"/>
      <c r="AX568" s="482"/>
      <c r="AY568" s="484"/>
      <c r="AZ568" s="189"/>
      <c r="BA568" s="189"/>
      <c r="BB568" s="189"/>
      <c r="BC568" s="517"/>
      <c r="BD568" s="189"/>
      <c r="BF568" s="518"/>
    </row>
    <row r="569" spans="1:58" ht="15.75" customHeight="1">
      <c r="A569" s="116">
        <v>4627186341305</v>
      </c>
      <c r="B569" s="100">
        <v>3728</v>
      </c>
      <c r="C569" s="251" t="s">
        <v>2468</v>
      </c>
      <c r="D569" s="826"/>
      <c r="E569" s="110"/>
      <c r="F569" s="326"/>
      <c r="G569" s="426"/>
      <c r="H569" s="426"/>
      <c r="I569" s="426"/>
      <c r="J569" s="332">
        <v>125</v>
      </c>
      <c r="K569" s="318">
        <f t="shared" si="447"/>
        <v>0</v>
      </c>
      <c r="L569" s="275">
        <f t="shared" si="443"/>
        <v>131.25</v>
      </c>
      <c r="M569" s="318">
        <f t="shared" si="457"/>
        <v>0</v>
      </c>
      <c r="N569" s="275">
        <f t="shared" si="444"/>
        <v>137.5</v>
      </c>
      <c r="O569" s="318">
        <f t="shared" si="458"/>
        <v>0</v>
      </c>
      <c r="P569" s="275">
        <f t="shared" si="445"/>
        <v>143.75</v>
      </c>
      <c r="Q569" s="318">
        <f t="shared" si="459"/>
        <v>0</v>
      </c>
      <c r="R569" s="275">
        <f t="shared" si="446"/>
        <v>156.25</v>
      </c>
      <c r="S569" s="318">
        <f t="shared" si="460"/>
        <v>0</v>
      </c>
      <c r="T569" s="275">
        <v>28</v>
      </c>
      <c r="U569" s="275">
        <f t="shared" si="461"/>
        <v>0</v>
      </c>
      <c r="V569" s="390"/>
      <c r="W569" s="301">
        <v>235</v>
      </c>
      <c r="Y569" s="567"/>
      <c r="Z569" s="189"/>
      <c r="AA569" s="773"/>
      <c r="AB569" s="540"/>
      <c r="AC569" s="540"/>
      <c r="AD569" s="712"/>
      <c r="AE569" s="712"/>
      <c r="AF569" s="700"/>
      <c r="AG569" s="700"/>
      <c r="AH569" s="547"/>
      <c r="AI569" s="478"/>
      <c r="AJ569" s="189"/>
      <c r="AK569" s="574"/>
      <c r="AL569" s="446"/>
      <c r="AM569" s="661"/>
      <c r="AN569" s="662"/>
      <c r="AO569" s="662"/>
      <c r="AP569" s="616"/>
      <c r="AQ569" s="609"/>
      <c r="AR569" s="621"/>
      <c r="AS569" s="618"/>
      <c r="AU569" s="189"/>
      <c r="AV569" s="189"/>
      <c r="AW569" s="189"/>
      <c r="AX569" s="482"/>
      <c r="AY569" s="484"/>
      <c r="AZ569" s="189"/>
      <c r="BA569" s="189"/>
      <c r="BB569" s="189"/>
      <c r="BC569" s="517"/>
      <c r="BD569" s="189"/>
      <c r="BF569" s="518"/>
    </row>
    <row r="570" spans="1:58" ht="15.75" customHeight="1">
      <c r="A570" s="116" t="s">
        <v>895</v>
      </c>
      <c r="B570" s="100">
        <v>1520</v>
      </c>
      <c r="C570" s="251" t="s">
        <v>2469</v>
      </c>
      <c r="D570" s="826"/>
      <c r="E570" s="110"/>
      <c r="F570" s="248"/>
      <c r="G570" s="190"/>
      <c r="H570" s="190"/>
      <c r="I570" s="190"/>
      <c r="J570" s="315">
        <v>175</v>
      </c>
      <c r="K570" s="104">
        <f>F570*J570</f>
        <v>0</v>
      </c>
      <c r="L570" s="275">
        <f t="shared" si="443"/>
        <v>183.75</v>
      </c>
      <c r="M570" s="104">
        <f t="shared" si="457"/>
        <v>0</v>
      </c>
      <c r="N570" s="275">
        <f t="shared" si="444"/>
        <v>192.5</v>
      </c>
      <c r="O570" s="104">
        <f t="shared" si="458"/>
        <v>0</v>
      </c>
      <c r="P570" s="275">
        <f t="shared" si="445"/>
        <v>201.25</v>
      </c>
      <c r="Q570" s="104">
        <f t="shared" si="459"/>
        <v>0</v>
      </c>
      <c r="R570" s="275">
        <f t="shared" si="446"/>
        <v>218.75</v>
      </c>
      <c r="S570" s="104">
        <f t="shared" si="460"/>
        <v>0</v>
      </c>
      <c r="T570" s="105">
        <v>64</v>
      </c>
      <c r="U570" s="105">
        <f t="shared" si="461"/>
        <v>0</v>
      </c>
      <c r="V570" s="106"/>
      <c r="W570" s="301">
        <v>330</v>
      </c>
      <c r="Y570" s="567"/>
      <c r="Z570" s="189"/>
      <c r="AA570" s="773"/>
      <c r="AB570" s="540"/>
      <c r="AC570" s="540"/>
      <c r="AD570" s="712"/>
      <c r="AE570" s="712"/>
      <c r="AF570" s="700"/>
      <c r="AG570" s="700"/>
      <c r="AH570" s="547"/>
      <c r="AI570" s="478"/>
      <c r="AJ570" s="189"/>
      <c r="AK570" s="568"/>
      <c r="AM570" s="661"/>
      <c r="AN570" s="662"/>
      <c r="AO570" s="662"/>
      <c r="AP570" s="616"/>
      <c r="AQ570" s="609"/>
      <c r="AR570" s="621"/>
      <c r="AS570" s="618"/>
      <c r="AU570" s="189"/>
      <c r="AV570" s="189"/>
      <c r="AW570" s="189"/>
      <c r="AX570" s="521"/>
      <c r="AY570" s="507"/>
      <c r="AZ570" s="189"/>
      <c r="BA570" s="189"/>
      <c r="BB570" s="189"/>
      <c r="BC570" s="517"/>
      <c r="BD570" s="189"/>
      <c r="BF570" s="445"/>
    </row>
    <row r="571" spans="1:58" ht="16.5" customHeight="1">
      <c r="A571" s="116">
        <v>4627101828997</v>
      </c>
      <c r="B571" s="100">
        <v>2872</v>
      </c>
      <c r="C571" s="251" t="s">
        <v>2470</v>
      </c>
      <c r="D571" s="826"/>
      <c r="E571" s="110"/>
      <c r="F571" s="248"/>
      <c r="G571" s="190"/>
      <c r="H571" s="190"/>
      <c r="I571" s="190"/>
      <c r="J571" s="315">
        <v>475</v>
      </c>
      <c r="K571" s="104">
        <f>J571*F571</f>
        <v>0</v>
      </c>
      <c r="L571" s="275">
        <f t="shared" si="443"/>
        <v>498.75</v>
      </c>
      <c r="M571" s="104">
        <f>F571*L571</f>
        <v>0</v>
      </c>
      <c r="N571" s="238">
        <v>330</v>
      </c>
      <c r="O571" s="104">
        <f>F571*N571</f>
        <v>0</v>
      </c>
      <c r="P571" s="275">
        <f t="shared" si="445"/>
        <v>546.25</v>
      </c>
      <c r="Q571" s="104">
        <f>F571*P571</f>
        <v>0</v>
      </c>
      <c r="R571" s="275">
        <f t="shared" si="446"/>
        <v>593.75</v>
      </c>
      <c r="S571" s="104">
        <f>R571*F571</f>
        <v>0</v>
      </c>
      <c r="T571" s="105"/>
      <c r="U571" s="105">
        <f>T571*F571</f>
        <v>0</v>
      </c>
      <c r="V571" s="106"/>
      <c r="W571" s="301">
        <v>900</v>
      </c>
      <c r="Y571" s="567"/>
      <c r="Z571" s="189"/>
      <c r="AA571" s="773"/>
      <c r="AB571" s="540"/>
      <c r="AC571" s="540"/>
      <c r="AD571" s="712"/>
      <c r="AE571" s="712"/>
      <c r="AF571" s="700"/>
      <c r="AG571" s="700"/>
      <c r="AH571" s="547"/>
      <c r="AI571" s="478"/>
      <c r="AJ571" s="189"/>
      <c r="AK571" s="568"/>
      <c r="AM571" s="661"/>
      <c r="AN571" s="662"/>
      <c r="AO571" s="662"/>
      <c r="AP571" s="616"/>
      <c r="AQ571" s="609"/>
      <c r="AR571" s="621"/>
      <c r="AS571" s="618"/>
      <c r="AU571" s="189"/>
      <c r="AV571" s="189"/>
      <c r="AW571" s="189"/>
      <c r="AX571" s="521"/>
      <c r="AY571" s="507"/>
      <c r="AZ571" s="189"/>
      <c r="BA571" s="189"/>
      <c r="BB571" s="189"/>
      <c r="BC571" s="517"/>
      <c r="BD571" s="189"/>
      <c r="BF571" s="445"/>
    </row>
    <row r="572" spans="1:58" ht="0.75" hidden="1" customHeight="1">
      <c r="A572" s="116"/>
      <c r="B572" s="100"/>
      <c r="C572" s="251"/>
      <c r="D572" s="826"/>
      <c r="E572" s="110"/>
      <c r="F572" s="248"/>
      <c r="G572" s="190"/>
      <c r="H572" s="190"/>
      <c r="I572" s="190"/>
      <c r="J572" s="315">
        <v>100</v>
      </c>
      <c r="K572" s="104">
        <f>J572*F572</f>
        <v>0</v>
      </c>
      <c r="L572" s="275">
        <f t="shared" si="443"/>
        <v>105</v>
      </c>
      <c r="M572" s="104">
        <f>L572*F572</f>
        <v>0</v>
      </c>
      <c r="N572" s="238">
        <v>110</v>
      </c>
      <c r="O572" s="104">
        <f>N572*F572</f>
        <v>0</v>
      </c>
      <c r="P572" s="275">
        <f t="shared" si="445"/>
        <v>115</v>
      </c>
      <c r="Q572" s="104">
        <f>P572*F572</f>
        <v>0</v>
      </c>
      <c r="R572" s="275">
        <f t="shared" si="446"/>
        <v>125</v>
      </c>
      <c r="S572" s="104">
        <f>R572*F572</f>
        <v>0</v>
      </c>
      <c r="T572" s="105"/>
      <c r="U572" s="105"/>
      <c r="V572" s="106"/>
      <c r="W572" s="301">
        <v>190</v>
      </c>
      <c r="Y572" s="567"/>
      <c r="Z572" s="189"/>
      <c r="AA572" s="773"/>
      <c r="AB572" s="540"/>
      <c r="AC572" s="540"/>
      <c r="AD572" s="712"/>
      <c r="AE572" s="712"/>
      <c r="AF572" s="700"/>
      <c r="AG572" s="700"/>
      <c r="AH572" s="547"/>
      <c r="AI572" s="478"/>
      <c r="AJ572" s="189"/>
      <c r="AK572" s="568"/>
      <c r="AM572" s="661"/>
      <c r="AN572" s="662"/>
      <c r="AO572" s="662"/>
      <c r="AP572" s="616"/>
      <c r="AQ572" s="609"/>
      <c r="AR572" s="621"/>
      <c r="AS572" s="618"/>
      <c r="AU572" s="189"/>
      <c r="AV572" s="189"/>
      <c r="AW572" s="189"/>
      <c r="AX572" s="521"/>
      <c r="AY572" s="507"/>
      <c r="AZ572" s="189"/>
      <c r="BA572" s="189"/>
      <c r="BB572" s="189"/>
      <c r="BC572" s="517"/>
      <c r="BD572" s="189"/>
      <c r="BF572" s="445"/>
    </row>
    <row r="573" spans="1:58" ht="24.75" customHeight="1">
      <c r="A573" s="485" t="s">
        <v>156</v>
      </c>
      <c r="B573" s="333"/>
      <c r="C573" s="334" t="s">
        <v>2471</v>
      </c>
      <c r="D573" s="828"/>
      <c r="E573" s="335"/>
      <c r="F573" s="491"/>
      <c r="G573" s="360" t="s">
        <v>2472</v>
      </c>
      <c r="H573" s="360"/>
      <c r="I573" s="360"/>
      <c r="J573" s="357"/>
      <c r="K573" s="488">
        <f>K574+K575+K576+K577+K578+K579+K580+K581+K582+K583+K584+K585+K586+K587+K588+K589+K590+K591+K592+K593+K594+K595+K596+K597+K598+K599+K600+K601</f>
        <v>0</v>
      </c>
      <c r="L573" s="489"/>
      <c r="M573" s="488">
        <f>SUM(M574:M602)</f>
        <v>0</v>
      </c>
      <c r="N573" s="489"/>
      <c r="O573" s="488">
        <f>SUM(O574:O602)</f>
        <v>0</v>
      </c>
      <c r="P573" s="489"/>
      <c r="Q573" s="488">
        <f>Q574+Q575+Q576+Q577+Q578+Q579+Q580+Q581+Q582+Q583+Q584+Q585+Q586+Q587+Q588+Q589+Q590+Q591+Q592+Q593+Q594+Q595+Q596+Q597+Q598+Q599+Q600+Q601</f>
        <v>0</v>
      </c>
      <c r="R573" s="489"/>
      <c r="S573" s="488">
        <f>SUM(S574:S602)</f>
        <v>0</v>
      </c>
      <c r="T573" s="313"/>
      <c r="U573" s="313">
        <f>SUM(U574:U602)</f>
        <v>0</v>
      </c>
      <c r="V573" s="293"/>
      <c r="W573" s="293"/>
      <c r="Y573" s="562"/>
      <c r="Z573" s="293"/>
      <c r="AA573" s="772"/>
      <c r="AB573" s="543"/>
      <c r="AC573" s="543"/>
      <c r="AD573" s="716"/>
      <c r="AE573" s="716"/>
      <c r="AF573" s="701"/>
      <c r="AG573" s="701"/>
      <c r="AH573" s="546"/>
      <c r="AI573" s="675"/>
      <c r="AJ573" s="293"/>
      <c r="AK573" s="563"/>
      <c r="AL573" s="554"/>
      <c r="AM573" s="562"/>
      <c r="AN573" s="293"/>
      <c r="AO573" s="293"/>
      <c r="AP573" s="293"/>
      <c r="AQ573" s="293"/>
      <c r="AR573" s="293"/>
      <c r="AS573" s="563"/>
      <c r="AU573" s="293"/>
      <c r="AV573" s="293"/>
      <c r="AW573" s="293"/>
      <c r="AX573" s="293"/>
      <c r="AY573" s="293"/>
      <c r="AZ573" s="293"/>
      <c r="BA573" s="293"/>
      <c r="BB573" s="293"/>
      <c r="BC573" s="293"/>
      <c r="BD573" s="293"/>
      <c r="BF573" s="445"/>
    </row>
    <row r="574" spans="1:58" ht="15.75" customHeight="1">
      <c r="A574" s="116"/>
      <c r="B574" s="100"/>
      <c r="C574" s="251" t="s">
        <v>2473</v>
      </c>
      <c r="D574" s="826"/>
      <c r="E574" s="110"/>
      <c r="F574" s="249"/>
      <c r="G574" s="238"/>
      <c r="H574" s="190"/>
      <c r="I574" s="190"/>
      <c r="J574" s="238">
        <v>1</v>
      </c>
      <c r="K574" s="238">
        <f t="shared" ref="K574:K590" si="462">F574*J574</f>
        <v>0</v>
      </c>
      <c r="L574" s="238">
        <v>1</v>
      </c>
      <c r="M574" s="238">
        <f t="shared" ref="M574:M590" si="463">F574*L574</f>
        <v>0</v>
      </c>
      <c r="N574" s="238">
        <v>1</v>
      </c>
      <c r="O574" s="238">
        <f t="shared" ref="O574:O590" si="464">F574*N574</f>
        <v>0</v>
      </c>
      <c r="P574" s="238">
        <v>1</v>
      </c>
      <c r="Q574" s="238">
        <f t="shared" ref="Q574:Q590" si="465">F574*P574</f>
        <v>0</v>
      </c>
      <c r="R574" s="238">
        <v>1</v>
      </c>
      <c r="S574" s="238">
        <f t="shared" ref="S574:S590" si="466">F574*R574</f>
        <v>0</v>
      </c>
      <c r="T574" s="105">
        <v>7.5</v>
      </c>
      <c r="U574" s="105">
        <f t="shared" ref="U574:U582" si="467">T574*F574</f>
        <v>0</v>
      </c>
      <c r="V574" s="399"/>
      <c r="W574" s="400"/>
      <c r="Y574" s="567"/>
      <c r="Z574" s="189"/>
      <c r="AA574" s="773"/>
      <c r="AB574" s="540"/>
      <c r="AC574" s="540"/>
      <c r="AD574" s="712"/>
      <c r="AE574" s="712"/>
      <c r="AF574" s="700"/>
      <c r="AG574" s="700"/>
      <c r="AH574" s="547"/>
      <c r="AI574" s="478"/>
      <c r="AJ574" s="189"/>
      <c r="AK574" s="568"/>
      <c r="AM574" s="661"/>
      <c r="AN574" s="662"/>
      <c r="AO574" s="662"/>
      <c r="AP574" s="616"/>
      <c r="AQ574" s="609"/>
      <c r="AR574" s="621"/>
      <c r="AS574" s="618"/>
      <c r="AU574" s="189"/>
      <c r="AV574" s="189"/>
      <c r="AW574" s="189"/>
      <c r="AX574" s="521"/>
      <c r="AY574" s="507"/>
      <c r="AZ574" s="189"/>
      <c r="BA574" s="189"/>
      <c r="BB574" s="189"/>
      <c r="BC574" s="517"/>
      <c r="BD574" s="189"/>
      <c r="BF574" s="445"/>
    </row>
    <row r="575" spans="1:58" ht="15" customHeight="1">
      <c r="A575" s="116"/>
      <c r="B575" s="100"/>
      <c r="C575" s="251" t="s">
        <v>2474</v>
      </c>
      <c r="D575" s="826"/>
      <c r="E575" s="110"/>
      <c r="F575" s="249"/>
      <c r="G575" s="238"/>
      <c r="H575" s="190"/>
      <c r="I575" s="190"/>
      <c r="J575" s="238">
        <v>1</v>
      </c>
      <c r="K575" s="238">
        <f t="shared" si="462"/>
        <v>0</v>
      </c>
      <c r="L575" s="238">
        <v>1</v>
      </c>
      <c r="M575" s="238">
        <f t="shared" si="463"/>
        <v>0</v>
      </c>
      <c r="N575" s="238">
        <v>1</v>
      </c>
      <c r="O575" s="238">
        <f t="shared" si="464"/>
        <v>0</v>
      </c>
      <c r="P575" s="238">
        <v>1</v>
      </c>
      <c r="Q575" s="238">
        <f t="shared" si="465"/>
        <v>0</v>
      </c>
      <c r="R575" s="238">
        <v>1</v>
      </c>
      <c r="S575" s="238">
        <f t="shared" si="466"/>
        <v>0</v>
      </c>
      <c r="T575" s="105">
        <v>4.8</v>
      </c>
      <c r="U575" s="105">
        <f t="shared" si="467"/>
        <v>0</v>
      </c>
      <c r="V575" s="399"/>
      <c r="W575" s="400"/>
      <c r="Y575" s="567"/>
      <c r="Z575" s="189"/>
      <c r="AA575" s="773"/>
      <c r="AB575" s="540"/>
      <c r="AC575" s="540"/>
      <c r="AD575" s="712"/>
      <c r="AE575" s="712"/>
      <c r="AF575" s="700"/>
      <c r="AG575" s="700"/>
      <c r="AH575" s="547"/>
      <c r="AI575" s="478"/>
      <c r="AJ575" s="189"/>
      <c r="AK575" s="568"/>
      <c r="AM575" s="661"/>
      <c r="AN575" s="662"/>
      <c r="AO575" s="662"/>
      <c r="AP575" s="616"/>
      <c r="AQ575" s="609"/>
      <c r="AR575" s="621"/>
      <c r="AS575" s="618"/>
      <c r="AU575" s="189"/>
      <c r="AV575" s="189"/>
      <c r="AW575" s="189"/>
      <c r="AX575" s="521"/>
      <c r="AY575" s="507"/>
      <c r="AZ575" s="189"/>
      <c r="BA575" s="189"/>
      <c r="BB575" s="189"/>
      <c r="BC575" s="517"/>
      <c r="BD575" s="189"/>
      <c r="BF575" s="445"/>
    </row>
    <row r="576" spans="1:58" ht="15" customHeight="1">
      <c r="A576" s="116"/>
      <c r="B576" s="100"/>
      <c r="C576" s="251" t="s">
        <v>2475</v>
      </c>
      <c r="D576" s="826"/>
      <c r="E576" s="110"/>
      <c r="F576" s="249"/>
      <c r="G576" s="238"/>
      <c r="H576" s="190"/>
      <c r="I576" s="190"/>
      <c r="J576" s="238">
        <v>1</v>
      </c>
      <c r="K576" s="238">
        <f t="shared" si="462"/>
        <v>0</v>
      </c>
      <c r="L576" s="238">
        <v>1</v>
      </c>
      <c r="M576" s="238">
        <f t="shared" si="463"/>
        <v>0</v>
      </c>
      <c r="N576" s="238">
        <v>1</v>
      </c>
      <c r="O576" s="238">
        <f t="shared" si="464"/>
        <v>0</v>
      </c>
      <c r="P576" s="238">
        <v>1</v>
      </c>
      <c r="Q576" s="238">
        <f t="shared" si="465"/>
        <v>0</v>
      </c>
      <c r="R576" s="238">
        <v>1</v>
      </c>
      <c r="S576" s="238">
        <f t="shared" si="466"/>
        <v>0</v>
      </c>
      <c r="T576" s="105">
        <v>3</v>
      </c>
      <c r="U576" s="105">
        <f t="shared" si="467"/>
        <v>0</v>
      </c>
      <c r="V576" s="399"/>
      <c r="W576" s="400"/>
      <c r="Y576" s="567"/>
      <c r="Z576" s="189"/>
      <c r="AA576" s="773"/>
      <c r="AB576" s="540"/>
      <c r="AC576" s="540"/>
      <c r="AD576" s="712"/>
      <c r="AE576" s="712"/>
      <c r="AF576" s="700"/>
      <c r="AG576" s="700"/>
      <c r="AH576" s="547"/>
      <c r="AI576" s="478"/>
      <c r="AJ576" s="189"/>
      <c r="AK576" s="568"/>
      <c r="AM576" s="661"/>
      <c r="AN576" s="662"/>
      <c r="AO576" s="662"/>
      <c r="AP576" s="616"/>
      <c r="AQ576" s="609"/>
      <c r="AR576" s="621"/>
      <c r="AS576" s="618"/>
      <c r="AU576" s="189"/>
      <c r="AV576" s="189"/>
      <c r="AW576" s="189"/>
      <c r="AX576" s="521"/>
      <c r="AY576" s="507"/>
      <c r="AZ576" s="189"/>
      <c r="BA576" s="189"/>
      <c r="BB576" s="189"/>
      <c r="BC576" s="517"/>
      <c r="BD576" s="189"/>
      <c r="BF576" s="445"/>
    </row>
    <row r="577" spans="1:58" ht="15" customHeight="1">
      <c r="A577" s="116"/>
      <c r="B577" s="100"/>
      <c r="C577" s="251" t="s">
        <v>2476</v>
      </c>
      <c r="D577" s="826"/>
      <c r="E577" s="110"/>
      <c r="F577" s="249"/>
      <c r="G577" s="238"/>
      <c r="H577" s="190"/>
      <c r="I577" s="190"/>
      <c r="J577" s="238">
        <v>1</v>
      </c>
      <c r="K577" s="238">
        <f t="shared" si="462"/>
        <v>0</v>
      </c>
      <c r="L577" s="238">
        <v>1</v>
      </c>
      <c r="M577" s="238">
        <f t="shared" si="463"/>
        <v>0</v>
      </c>
      <c r="N577" s="238">
        <v>1</v>
      </c>
      <c r="O577" s="238">
        <f t="shared" si="464"/>
        <v>0</v>
      </c>
      <c r="P577" s="238">
        <v>1</v>
      </c>
      <c r="Q577" s="238">
        <f t="shared" si="465"/>
        <v>0</v>
      </c>
      <c r="R577" s="238">
        <v>1</v>
      </c>
      <c r="S577" s="238">
        <f t="shared" si="466"/>
        <v>0</v>
      </c>
      <c r="T577" s="105">
        <v>2</v>
      </c>
      <c r="U577" s="105">
        <f t="shared" si="467"/>
        <v>0</v>
      </c>
      <c r="V577" s="399"/>
      <c r="W577" s="400"/>
      <c r="Y577" s="567"/>
      <c r="Z577" s="189"/>
      <c r="AA577" s="773"/>
      <c r="AB577" s="540"/>
      <c r="AC577" s="540"/>
      <c r="AD577" s="712"/>
      <c r="AE577" s="712"/>
      <c r="AF577" s="700"/>
      <c r="AG577" s="700"/>
      <c r="AH577" s="547"/>
      <c r="AI577" s="478"/>
      <c r="AJ577" s="189"/>
      <c r="AK577" s="568"/>
      <c r="AM577" s="661"/>
      <c r="AN577" s="662"/>
      <c r="AO577" s="662"/>
      <c r="AP577" s="616"/>
      <c r="AQ577" s="609"/>
      <c r="AR577" s="621"/>
      <c r="AS577" s="618"/>
      <c r="AU577" s="189"/>
      <c r="AV577" s="189"/>
      <c r="AW577" s="189"/>
      <c r="AX577" s="521"/>
      <c r="AY577" s="507"/>
      <c r="AZ577" s="189"/>
      <c r="BA577" s="189"/>
      <c r="BB577" s="189"/>
      <c r="BC577" s="517"/>
      <c r="BD577" s="189"/>
      <c r="BF577" s="445"/>
    </row>
    <row r="578" spans="1:58" ht="15" customHeight="1">
      <c r="A578" s="116"/>
      <c r="B578" s="100"/>
      <c r="C578" s="253" t="s">
        <v>2477</v>
      </c>
      <c r="D578" s="830"/>
      <c r="E578" s="101"/>
      <c r="F578" s="249"/>
      <c r="G578" s="238"/>
      <c r="H578" s="190"/>
      <c r="I578" s="190"/>
      <c r="J578" s="238">
        <v>1</v>
      </c>
      <c r="K578" s="238">
        <f t="shared" si="462"/>
        <v>0</v>
      </c>
      <c r="L578" s="238">
        <v>1</v>
      </c>
      <c r="M578" s="238">
        <f t="shared" si="463"/>
        <v>0</v>
      </c>
      <c r="N578" s="238">
        <v>1</v>
      </c>
      <c r="O578" s="238">
        <f t="shared" si="464"/>
        <v>0</v>
      </c>
      <c r="P578" s="238">
        <v>1</v>
      </c>
      <c r="Q578" s="238">
        <f t="shared" si="465"/>
        <v>0</v>
      </c>
      <c r="R578" s="238">
        <v>1</v>
      </c>
      <c r="S578" s="238">
        <f t="shared" si="466"/>
        <v>0</v>
      </c>
      <c r="T578" s="105">
        <v>2</v>
      </c>
      <c r="U578" s="105">
        <f t="shared" si="467"/>
        <v>0</v>
      </c>
      <c r="V578" s="399"/>
      <c r="W578" s="400"/>
      <c r="Y578" s="567"/>
      <c r="Z578" s="189"/>
      <c r="AA578" s="773"/>
      <c r="AB578" s="540"/>
      <c r="AC578" s="540"/>
      <c r="AD578" s="712"/>
      <c r="AE578" s="712"/>
      <c r="AF578" s="700"/>
      <c r="AG578" s="700"/>
      <c r="AH578" s="547"/>
      <c r="AI578" s="478"/>
      <c r="AJ578" s="189"/>
      <c r="AK578" s="568"/>
      <c r="AM578" s="632"/>
      <c r="AN578" s="633"/>
      <c r="AO578" s="633"/>
      <c r="AP578" s="636"/>
      <c r="AQ578" s="609"/>
      <c r="AR578" s="634"/>
      <c r="AS578" s="635"/>
      <c r="AU578" s="189"/>
      <c r="AV578" s="189"/>
      <c r="AW578" s="189"/>
      <c r="AX578" s="521"/>
      <c r="AY578" s="507"/>
      <c r="AZ578" s="189"/>
      <c r="BA578" s="189"/>
      <c r="BB578" s="189"/>
      <c r="BC578" s="517"/>
      <c r="BD578" s="189"/>
      <c r="BF578" s="445"/>
    </row>
    <row r="579" spans="1:58" ht="13.15" customHeight="1">
      <c r="A579" s="116"/>
      <c r="B579" s="100"/>
      <c r="C579" s="251" t="s">
        <v>2478</v>
      </c>
      <c r="D579" s="826"/>
      <c r="E579" s="110"/>
      <c r="F579" s="249"/>
      <c r="G579" s="238"/>
      <c r="H579" s="190"/>
      <c r="I579" s="190"/>
      <c r="J579" s="238">
        <v>1</v>
      </c>
      <c r="K579" s="238">
        <f t="shared" si="462"/>
        <v>0</v>
      </c>
      <c r="L579" s="238">
        <v>1</v>
      </c>
      <c r="M579" s="238">
        <f t="shared" si="463"/>
        <v>0</v>
      </c>
      <c r="N579" s="238">
        <v>1</v>
      </c>
      <c r="O579" s="238">
        <f t="shared" si="464"/>
        <v>0</v>
      </c>
      <c r="P579" s="238">
        <v>1</v>
      </c>
      <c r="Q579" s="238">
        <f t="shared" si="465"/>
        <v>0</v>
      </c>
      <c r="R579" s="238">
        <v>1</v>
      </c>
      <c r="S579" s="238">
        <f t="shared" si="466"/>
        <v>0</v>
      </c>
      <c r="T579" s="105">
        <v>2</v>
      </c>
      <c r="U579" s="105">
        <f t="shared" si="467"/>
        <v>0</v>
      </c>
      <c r="V579" s="399"/>
      <c r="W579" s="400"/>
      <c r="Y579" s="567"/>
      <c r="Z579" s="189"/>
      <c r="AA579" s="773"/>
      <c r="AB579" s="540"/>
      <c r="AC579" s="540"/>
      <c r="AD579" s="712"/>
      <c r="AE579" s="712"/>
      <c r="AF579" s="700"/>
      <c r="AG579" s="700"/>
      <c r="AH579" s="547"/>
      <c r="AI579" s="478"/>
      <c r="AJ579" s="189"/>
      <c r="AK579" s="568"/>
      <c r="AM579" s="661"/>
      <c r="AN579" s="662"/>
      <c r="AO579" s="662"/>
      <c r="AP579" s="616"/>
      <c r="AQ579" s="609"/>
      <c r="AR579" s="621"/>
      <c r="AS579" s="618"/>
      <c r="AU579" s="189"/>
      <c r="AV579" s="189"/>
      <c r="AW579" s="189"/>
      <c r="AX579" s="521"/>
      <c r="AY579" s="507"/>
      <c r="AZ579" s="189"/>
      <c r="BA579" s="189"/>
      <c r="BB579" s="189"/>
      <c r="BC579" s="517"/>
      <c r="BD579" s="189"/>
      <c r="BF579" s="445"/>
    </row>
    <row r="580" spans="1:58" ht="15.6" customHeight="1">
      <c r="A580" s="116"/>
      <c r="B580" s="100"/>
      <c r="C580" s="251" t="s">
        <v>2479</v>
      </c>
      <c r="D580" s="826"/>
      <c r="E580" s="110"/>
      <c r="F580" s="249"/>
      <c r="G580" s="238"/>
      <c r="H580" s="190"/>
      <c r="I580" s="190"/>
      <c r="J580" s="238">
        <v>1</v>
      </c>
      <c r="K580" s="238">
        <f t="shared" si="462"/>
        <v>0</v>
      </c>
      <c r="L580" s="238">
        <v>1</v>
      </c>
      <c r="M580" s="238">
        <f t="shared" si="463"/>
        <v>0</v>
      </c>
      <c r="N580" s="238">
        <v>1</v>
      </c>
      <c r="O580" s="238">
        <f t="shared" si="464"/>
        <v>0</v>
      </c>
      <c r="P580" s="238">
        <v>1</v>
      </c>
      <c r="Q580" s="238">
        <f t="shared" si="465"/>
        <v>0</v>
      </c>
      <c r="R580" s="238">
        <v>1</v>
      </c>
      <c r="S580" s="238">
        <f t="shared" si="466"/>
        <v>0</v>
      </c>
      <c r="T580" s="105">
        <v>2</v>
      </c>
      <c r="U580" s="105">
        <f t="shared" si="467"/>
        <v>0</v>
      </c>
      <c r="V580" s="399"/>
      <c r="W580" s="400"/>
      <c r="Y580" s="567"/>
      <c r="Z580" s="189"/>
      <c r="AA580" s="773"/>
      <c r="AB580" s="540"/>
      <c r="AC580" s="540"/>
      <c r="AD580" s="712"/>
      <c r="AE580" s="712"/>
      <c r="AF580" s="700"/>
      <c r="AG580" s="700"/>
      <c r="AH580" s="547"/>
      <c r="AI580" s="478"/>
      <c r="AJ580" s="189"/>
      <c r="AK580" s="568"/>
      <c r="AM580" s="661"/>
      <c r="AN580" s="662"/>
      <c r="AO580" s="662"/>
      <c r="AP580" s="616"/>
      <c r="AQ580" s="609"/>
      <c r="AR580" s="621"/>
      <c r="AS580" s="618"/>
      <c r="AU580" s="189"/>
      <c r="AV580" s="189"/>
      <c r="AW580" s="189"/>
      <c r="AX580" s="521"/>
      <c r="AY580" s="507"/>
      <c r="AZ580" s="189"/>
      <c r="BA580" s="189"/>
      <c r="BB580" s="189"/>
      <c r="BC580" s="517"/>
      <c r="BD580" s="189"/>
      <c r="BF580" s="445"/>
    </row>
    <row r="581" spans="1:58" ht="14.25" customHeight="1">
      <c r="A581" s="116"/>
      <c r="B581" s="100"/>
      <c r="C581" s="251" t="s">
        <v>2480</v>
      </c>
      <c r="D581" s="826"/>
      <c r="E581" s="110"/>
      <c r="F581" s="249"/>
      <c r="G581" s="238"/>
      <c r="H581" s="190"/>
      <c r="I581" s="190"/>
      <c r="J581" s="238">
        <v>1</v>
      </c>
      <c r="K581" s="238">
        <f t="shared" si="462"/>
        <v>0</v>
      </c>
      <c r="L581" s="238">
        <v>1</v>
      </c>
      <c r="M581" s="238">
        <f t="shared" si="463"/>
        <v>0</v>
      </c>
      <c r="N581" s="238">
        <v>1</v>
      </c>
      <c r="O581" s="238">
        <f t="shared" si="464"/>
        <v>0</v>
      </c>
      <c r="P581" s="238">
        <v>1</v>
      </c>
      <c r="Q581" s="238">
        <f t="shared" si="465"/>
        <v>0</v>
      </c>
      <c r="R581" s="238">
        <v>1</v>
      </c>
      <c r="S581" s="238">
        <f t="shared" si="466"/>
        <v>0</v>
      </c>
      <c r="T581" s="105">
        <v>4</v>
      </c>
      <c r="U581" s="105">
        <f t="shared" si="467"/>
        <v>0</v>
      </c>
      <c r="V581" s="399"/>
      <c r="W581" s="400"/>
      <c r="Y581" s="567"/>
      <c r="Z581" s="189"/>
      <c r="AA581" s="773"/>
      <c r="AB581" s="540"/>
      <c r="AC581" s="540"/>
      <c r="AD581" s="712"/>
      <c r="AE581" s="712"/>
      <c r="AF581" s="700"/>
      <c r="AG581" s="700"/>
      <c r="AH581" s="547"/>
      <c r="AI581" s="478"/>
      <c r="AJ581" s="189"/>
      <c r="AK581" s="568"/>
      <c r="AM581" s="661"/>
      <c r="AN581" s="662"/>
      <c r="AO581" s="662"/>
      <c r="AP581" s="616"/>
      <c r="AQ581" s="609"/>
      <c r="AR581" s="621"/>
      <c r="AS581" s="618"/>
      <c r="AU581" s="189"/>
      <c r="AV581" s="189"/>
      <c r="AW581" s="189"/>
      <c r="AX581" s="521"/>
      <c r="AY581" s="507"/>
      <c r="AZ581" s="189"/>
      <c r="BA581" s="189"/>
      <c r="BB581" s="189"/>
      <c r="BC581" s="517"/>
      <c r="BD581" s="189"/>
      <c r="BF581" s="445"/>
    </row>
    <row r="582" spans="1:58" ht="12.75" customHeight="1">
      <c r="A582" s="116"/>
      <c r="B582" s="100"/>
      <c r="C582" s="251" t="s">
        <v>2481</v>
      </c>
      <c r="D582" s="826"/>
      <c r="E582" s="110"/>
      <c r="F582" s="249"/>
      <c r="G582" s="238"/>
      <c r="H582" s="190"/>
      <c r="I582" s="190"/>
      <c r="J582" s="238">
        <v>1</v>
      </c>
      <c r="K582" s="238">
        <f t="shared" si="462"/>
        <v>0</v>
      </c>
      <c r="L582" s="238">
        <v>1</v>
      </c>
      <c r="M582" s="238">
        <f t="shared" si="463"/>
        <v>0</v>
      </c>
      <c r="N582" s="238">
        <v>1</v>
      </c>
      <c r="O582" s="238">
        <f t="shared" si="464"/>
        <v>0</v>
      </c>
      <c r="P582" s="238">
        <v>1</v>
      </c>
      <c r="Q582" s="238">
        <f t="shared" si="465"/>
        <v>0</v>
      </c>
      <c r="R582" s="238">
        <v>1</v>
      </c>
      <c r="S582" s="238">
        <f t="shared" si="466"/>
        <v>0</v>
      </c>
      <c r="T582" s="105">
        <v>4</v>
      </c>
      <c r="U582" s="105">
        <f t="shared" si="467"/>
        <v>0</v>
      </c>
      <c r="V582" s="399"/>
      <c r="W582" s="400"/>
      <c r="Y582" s="567"/>
      <c r="Z582" s="189"/>
      <c r="AA582" s="773"/>
      <c r="AB582" s="540"/>
      <c r="AC582" s="540"/>
      <c r="AD582" s="712"/>
      <c r="AE582" s="712"/>
      <c r="AF582" s="700"/>
      <c r="AG582" s="700"/>
      <c r="AH582" s="547"/>
      <c r="AI582" s="478"/>
      <c r="AJ582" s="189"/>
      <c r="AK582" s="568"/>
      <c r="AM582" s="661"/>
      <c r="AN582" s="662"/>
      <c r="AO582" s="662"/>
      <c r="AP582" s="616"/>
      <c r="AQ582" s="609"/>
      <c r="AR582" s="621"/>
      <c r="AS582" s="618"/>
      <c r="AU582" s="189"/>
      <c r="AV582" s="189"/>
      <c r="AW582" s="189"/>
      <c r="AX582" s="521"/>
      <c r="AY582" s="507"/>
      <c r="AZ582" s="189"/>
      <c r="BA582" s="189"/>
      <c r="BB582" s="189"/>
      <c r="BC582" s="517"/>
      <c r="BD582" s="189"/>
      <c r="BF582" s="445"/>
    </row>
    <row r="583" spans="1:58" ht="12.75" customHeight="1">
      <c r="A583" s="116"/>
      <c r="B583" s="100"/>
      <c r="C583" s="251" t="s">
        <v>2482</v>
      </c>
      <c r="D583" s="826"/>
      <c r="E583" s="110"/>
      <c r="F583" s="249"/>
      <c r="G583" s="238"/>
      <c r="H583" s="190"/>
      <c r="I583" s="190"/>
      <c r="J583" s="238">
        <v>1</v>
      </c>
      <c r="K583" s="238">
        <f t="shared" si="462"/>
        <v>0</v>
      </c>
      <c r="L583" s="238">
        <v>1</v>
      </c>
      <c r="M583" s="238">
        <f t="shared" si="463"/>
        <v>0</v>
      </c>
      <c r="N583" s="238">
        <v>1</v>
      </c>
      <c r="O583" s="238">
        <f t="shared" si="464"/>
        <v>0</v>
      </c>
      <c r="P583" s="238">
        <v>1</v>
      </c>
      <c r="Q583" s="238">
        <f t="shared" si="465"/>
        <v>0</v>
      </c>
      <c r="R583" s="238">
        <v>1</v>
      </c>
      <c r="S583" s="238">
        <f t="shared" si="466"/>
        <v>0</v>
      </c>
      <c r="T583" s="105">
        <v>4</v>
      </c>
      <c r="U583" s="105">
        <v>0</v>
      </c>
      <c r="V583" s="399"/>
      <c r="W583" s="400"/>
      <c r="Y583" s="567"/>
      <c r="Z583" s="189"/>
      <c r="AA583" s="773"/>
      <c r="AB583" s="540"/>
      <c r="AC583" s="540"/>
      <c r="AD583" s="712"/>
      <c r="AE583" s="712"/>
      <c r="AF583" s="700"/>
      <c r="AG583" s="700"/>
      <c r="AH583" s="547"/>
      <c r="AI583" s="478"/>
      <c r="AJ583" s="189"/>
      <c r="AK583" s="568"/>
      <c r="AM583" s="661"/>
      <c r="AN583" s="662"/>
      <c r="AO583" s="662"/>
      <c r="AP583" s="616"/>
      <c r="AQ583" s="609"/>
      <c r="AR583" s="621"/>
      <c r="AS583" s="618"/>
      <c r="AU583" s="189"/>
      <c r="AV583" s="189"/>
      <c r="AW583" s="189"/>
      <c r="AX583" s="521"/>
      <c r="AY583" s="507"/>
      <c r="AZ583" s="189"/>
      <c r="BA583" s="189"/>
      <c r="BB583" s="189"/>
      <c r="BC583" s="517"/>
      <c r="BD583" s="189"/>
      <c r="BF583" s="445"/>
    </row>
    <row r="584" spans="1:58" ht="15.6" customHeight="1">
      <c r="A584" s="116"/>
      <c r="B584" s="100"/>
      <c r="C584" s="251" t="s">
        <v>2483</v>
      </c>
      <c r="D584" s="826"/>
      <c r="E584" s="110"/>
      <c r="F584" s="249"/>
      <c r="G584" s="238"/>
      <c r="H584" s="190"/>
      <c r="I584" s="190"/>
      <c r="J584" s="238">
        <v>1</v>
      </c>
      <c r="K584" s="238">
        <f t="shared" si="462"/>
        <v>0</v>
      </c>
      <c r="L584" s="238">
        <v>1</v>
      </c>
      <c r="M584" s="238">
        <f t="shared" si="463"/>
        <v>0</v>
      </c>
      <c r="N584" s="238">
        <v>1</v>
      </c>
      <c r="O584" s="238">
        <f t="shared" si="464"/>
        <v>0</v>
      </c>
      <c r="P584" s="238">
        <v>1</v>
      </c>
      <c r="Q584" s="238">
        <f t="shared" si="465"/>
        <v>0</v>
      </c>
      <c r="R584" s="238">
        <v>1</v>
      </c>
      <c r="S584" s="238">
        <f t="shared" si="466"/>
        <v>0</v>
      </c>
      <c r="T584" s="105">
        <v>3</v>
      </c>
      <c r="U584" s="105">
        <v>0</v>
      </c>
      <c r="V584" s="399"/>
      <c r="W584" s="400"/>
      <c r="Y584" s="567"/>
      <c r="Z584" s="189"/>
      <c r="AA584" s="773"/>
      <c r="AB584" s="540"/>
      <c r="AC584" s="540"/>
      <c r="AD584" s="712"/>
      <c r="AE584" s="712"/>
      <c r="AF584" s="700"/>
      <c r="AG584" s="700"/>
      <c r="AH584" s="547"/>
      <c r="AI584" s="478"/>
      <c r="AJ584" s="189"/>
      <c r="AK584" s="568"/>
      <c r="AM584" s="661"/>
      <c r="AN584" s="662"/>
      <c r="AO584" s="662"/>
      <c r="AP584" s="616"/>
      <c r="AQ584" s="609"/>
      <c r="AR584" s="621"/>
      <c r="AS584" s="618"/>
      <c r="AU584" s="189"/>
      <c r="AV584" s="189"/>
      <c r="AW584" s="189"/>
      <c r="AX584" s="521"/>
      <c r="AY584" s="507"/>
      <c r="AZ584" s="189"/>
      <c r="BA584" s="189"/>
      <c r="BB584" s="189"/>
      <c r="BC584" s="517"/>
      <c r="BD584" s="189"/>
      <c r="BF584" s="445"/>
    </row>
    <row r="585" spans="1:58" ht="15.6" customHeight="1">
      <c r="A585" s="116"/>
      <c r="B585" s="100"/>
      <c r="C585" s="251" t="s">
        <v>2484</v>
      </c>
      <c r="D585" s="826"/>
      <c r="E585" s="110"/>
      <c r="F585" s="249"/>
      <c r="G585" s="238"/>
      <c r="H585" s="190"/>
      <c r="I585" s="190"/>
      <c r="J585" s="238">
        <v>1</v>
      </c>
      <c r="K585" s="238">
        <f t="shared" si="462"/>
        <v>0</v>
      </c>
      <c r="L585" s="238">
        <v>1</v>
      </c>
      <c r="M585" s="238">
        <f t="shared" si="463"/>
        <v>0</v>
      </c>
      <c r="N585" s="238">
        <v>1</v>
      </c>
      <c r="O585" s="238">
        <f t="shared" si="464"/>
        <v>0</v>
      </c>
      <c r="P585" s="238">
        <v>1</v>
      </c>
      <c r="Q585" s="238">
        <f t="shared" si="465"/>
        <v>0</v>
      </c>
      <c r="R585" s="238">
        <v>1</v>
      </c>
      <c r="S585" s="238">
        <f t="shared" si="466"/>
        <v>0</v>
      </c>
      <c r="T585" s="105">
        <v>6.7</v>
      </c>
      <c r="U585" s="105">
        <f t="shared" ref="U585:U591" si="468">T585*F585</f>
        <v>0</v>
      </c>
      <c r="V585" s="399"/>
      <c r="W585" s="400"/>
      <c r="Y585" s="567"/>
      <c r="Z585" s="189"/>
      <c r="AA585" s="773"/>
      <c r="AB585" s="540"/>
      <c r="AC585" s="540"/>
      <c r="AD585" s="712"/>
      <c r="AE585" s="712"/>
      <c r="AF585" s="700"/>
      <c r="AG585" s="700"/>
      <c r="AH585" s="547"/>
      <c r="AI585" s="478"/>
      <c r="AJ585" s="189"/>
      <c r="AK585" s="568"/>
      <c r="AM585" s="661"/>
      <c r="AN585" s="662"/>
      <c r="AO585" s="662"/>
      <c r="AP585" s="616"/>
      <c r="AQ585" s="609"/>
      <c r="AR585" s="621"/>
      <c r="AS585" s="618"/>
      <c r="AU585" s="189"/>
      <c r="AV585" s="189"/>
      <c r="AW585" s="189"/>
      <c r="AX585" s="521"/>
      <c r="AY585" s="507"/>
      <c r="AZ585" s="189"/>
      <c r="BA585" s="189"/>
      <c r="BB585" s="189"/>
      <c r="BC585" s="517"/>
      <c r="BD585" s="189"/>
      <c r="BF585" s="445"/>
    </row>
    <row r="586" spans="1:58" ht="15" customHeight="1">
      <c r="A586" s="116"/>
      <c r="B586" s="100"/>
      <c r="C586" s="251" t="s">
        <v>2485</v>
      </c>
      <c r="D586" s="826"/>
      <c r="E586" s="110"/>
      <c r="F586" s="249"/>
      <c r="G586" s="238"/>
      <c r="H586" s="190"/>
      <c r="I586" s="190"/>
      <c r="J586" s="238">
        <v>1</v>
      </c>
      <c r="K586" s="238">
        <f t="shared" si="462"/>
        <v>0</v>
      </c>
      <c r="L586" s="238">
        <v>1</v>
      </c>
      <c r="M586" s="238">
        <f t="shared" si="463"/>
        <v>0</v>
      </c>
      <c r="N586" s="238">
        <v>1</v>
      </c>
      <c r="O586" s="238">
        <f t="shared" si="464"/>
        <v>0</v>
      </c>
      <c r="P586" s="238">
        <v>1</v>
      </c>
      <c r="Q586" s="238">
        <f t="shared" si="465"/>
        <v>0</v>
      </c>
      <c r="R586" s="238">
        <v>1</v>
      </c>
      <c r="S586" s="238">
        <f t="shared" si="466"/>
        <v>0</v>
      </c>
      <c r="T586" s="105">
        <v>6.9</v>
      </c>
      <c r="U586" s="105">
        <f t="shared" si="468"/>
        <v>0</v>
      </c>
      <c r="V586" s="399"/>
      <c r="W586" s="400"/>
      <c r="Y586" s="567"/>
      <c r="Z586" s="189"/>
      <c r="AA586" s="773"/>
      <c r="AB586" s="540"/>
      <c r="AC586" s="540"/>
      <c r="AD586" s="712"/>
      <c r="AE586" s="712"/>
      <c r="AF586" s="700"/>
      <c r="AG586" s="700"/>
      <c r="AH586" s="547"/>
      <c r="AI586" s="478"/>
      <c r="AJ586" s="189"/>
      <c r="AK586" s="568"/>
      <c r="AM586" s="661"/>
      <c r="AN586" s="662"/>
      <c r="AO586" s="662"/>
      <c r="AP586" s="616"/>
      <c r="AQ586" s="609"/>
      <c r="AR586" s="621"/>
      <c r="AS586" s="618"/>
      <c r="AU586" s="189"/>
      <c r="AV586" s="189"/>
      <c r="AW586" s="189"/>
      <c r="AX586" s="521"/>
      <c r="AY586" s="507"/>
      <c r="AZ586" s="189"/>
      <c r="BA586" s="189"/>
      <c r="BB586" s="189"/>
      <c r="BC586" s="517"/>
      <c r="BD586" s="189"/>
      <c r="BF586" s="445"/>
    </row>
    <row r="587" spans="1:58" ht="14.45" customHeight="1">
      <c r="A587" s="116"/>
      <c r="B587" s="100"/>
      <c r="C587" s="251" t="s">
        <v>2486</v>
      </c>
      <c r="D587" s="826"/>
      <c r="E587" s="110"/>
      <c r="F587" s="249"/>
      <c r="G587" s="238"/>
      <c r="H587" s="190"/>
      <c r="I587" s="190"/>
      <c r="J587" s="238">
        <v>1</v>
      </c>
      <c r="K587" s="238">
        <f t="shared" si="462"/>
        <v>0</v>
      </c>
      <c r="L587" s="238">
        <v>1</v>
      </c>
      <c r="M587" s="238">
        <f t="shared" si="463"/>
        <v>0</v>
      </c>
      <c r="N587" s="238">
        <v>1</v>
      </c>
      <c r="O587" s="238">
        <f t="shared" si="464"/>
        <v>0</v>
      </c>
      <c r="P587" s="238">
        <v>1</v>
      </c>
      <c r="Q587" s="238">
        <f t="shared" si="465"/>
        <v>0</v>
      </c>
      <c r="R587" s="238">
        <v>1</v>
      </c>
      <c r="S587" s="238">
        <f t="shared" si="466"/>
        <v>0</v>
      </c>
      <c r="T587" s="105">
        <v>6.4</v>
      </c>
      <c r="U587" s="105">
        <f t="shared" si="468"/>
        <v>0</v>
      </c>
      <c r="V587" s="399"/>
      <c r="W587" s="400"/>
      <c r="Y587" s="567"/>
      <c r="Z587" s="189"/>
      <c r="AA587" s="773"/>
      <c r="AB587" s="540"/>
      <c r="AC587" s="540"/>
      <c r="AD587" s="712"/>
      <c r="AE587" s="712"/>
      <c r="AF587" s="700"/>
      <c r="AG587" s="700"/>
      <c r="AH587" s="547"/>
      <c r="AI587" s="478"/>
      <c r="AJ587" s="189"/>
      <c r="AK587" s="568"/>
      <c r="AM587" s="661"/>
      <c r="AN587" s="662"/>
      <c r="AO587" s="662"/>
      <c r="AP587" s="616"/>
      <c r="AQ587" s="609"/>
      <c r="AR587" s="621"/>
      <c r="AS587" s="618"/>
      <c r="AU587" s="189"/>
      <c r="AV587" s="189"/>
      <c r="AW587" s="189"/>
      <c r="AX587" s="521"/>
      <c r="AY587" s="507"/>
      <c r="AZ587" s="189"/>
      <c r="BA587" s="189"/>
      <c r="BB587" s="189"/>
      <c r="BC587" s="517"/>
      <c r="BD587" s="189"/>
      <c r="BF587" s="445"/>
    </row>
    <row r="588" spans="1:58" ht="14.45" customHeight="1">
      <c r="A588" s="116"/>
      <c r="B588" s="100"/>
      <c r="C588" s="251" t="s">
        <v>2487</v>
      </c>
      <c r="D588" s="826"/>
      <c r="E588" s="110"/>
      <c r="F588" s="249"/>
      <c r="G588" s="190"/>
      <c r="H588" s="190"/>
      <c r="I588" s="190"/>
      <c r="J588" s="238">
        <v>1</v>
      </c>
      <c r="K588" s="238">
        <f t="shared" si="462"/>
        <v>0</v>
      </c>
      <c r="L588" s="238">
        <v>1</v>
      </c>
      <c r="M588" s="238">
        <f t="shared" si="463"/>
        <v>0</v>
      </c>
      <c r="N588" s="238">
        <v>1</v>
      </c>
      <c r="O588" s="238">
        <f t="shared" si="464"/>
        <v>0</v>
      </c>
      <c r="P588" s="238">
        <v>1</v>
      </c>
      <c r="Q588" s="238">
        <f t="shared" si="465"/>
        <v>0</v>
      </c>
      <c r="R588" s="238">
        <v>1</v>
      </c>
      <c r="S588" s="238">
        <f t="shared" si="466"/>
        <v>0</v>
      </c>
      <c r="T588" s="105">
        <v>5</v>
      </c>
      <c r="U588" s="105">
        <f t="shared" si="468"/>
        <v>0</v>
      </c>
      <c r="V588" s="399"/>
      <c r="W588" s="400"/>
      <c r="Y588" s="567"/>
      <c r="Z588" s="189"/>
      <c r="AA588" s="773"/>
      <c r="AB588" s="540"/>
      <c r="AC588" s="540"/>
      <c r="AD588" s="712"/>
      <c r="AE588" s="712"/>
      <c r="AF588" s="700"/>
      <c r="AG588" s="700"/>
      <c r="AH588" s="547"/>
      <c r="AI588" s="478"/>
      <c r="AJ588" s="189"/>
      <c r="AK588" s="568"/>
      <c r="AM588" s="661"/>
      <c r="AN588" s="662"/>
      <c r="AO588" s="662"/>
      <c r="AP588" s="616"/>
      <c r="AQ588" s="609"/>
      <c r="AR588" s="621"/>
      <c r="AS588" s="618"/>
      <c r="AU588" s="189"/>
      <c r="AV588" s="189"/>
      <c r="AW588" s="189"/>
      <c r="AX588" s="521"/>
      <c r="AY588" s="507"/>
      <c r="AZ588" s="189"/>
      <c r="BA588" s="189"/>
      <c r="BB588" s="189"/>
      <c r="BC588" s="517"/>
      <c r="BD588" s="189"/>
      <c r="BF588" s="445"/>
    </row>
    <row r="589" spans="1:58" ht="13.9" customHeight="1">
      <c r="A589" s="116"/>
      <c r="B589" s="100"/>
      <c r="C589" s="251" t="s">
        <v>2488</v>
      </c>
      <c r="D589" s="826"/>
      <c r="E589" s="110"/>
      <c r="F589" s="249"/>
      <c r="G589" s="190"/>
      <c r="H589" s="190"/>
      <c r="I589" s="190"/>
      <c r="J589" s="238">
        <v>1</v>
      </c>
      <c r="K589" s="238">
        <f t="shared" si="462"/>
        <v>0</v>
      </c>
      <c r="L589" s="238">
        <v>1</v>
      </c>
      <c r="M589" s="238">
        <f t="shared" si="463"/>
        <v>0</v>
      </c>
      <c r="N589" s="238">
        <v>1</v>
      </c>
      <c r="O589" s="238">
        <f t="shared" si="464"/>
        <v>0</v>
      </c>
      <c r="P589" s="238">
        <v>1</v>
      </c>
      <c r="Q589" s="238">
        <f t="shared" si="465"/>
        <v>0</v>
      </c>
      <c r="R589" s="238">
        <v>1</v>
      </c>
      <c r="S589" s="238">
        <f t="shared" si="466"/>
        <v>0</v>
      </c>
      <c r="T589" s="105">
        <v>5</v>
      </c>
      <c r="U589" s="105">
        <f t="shared" si="468"/>
        <v>0</v>
      </c>
      <c r="V589" s="399"/>
      <c r="W589" s="400"/>
      <c r="Y589" s="567"/>
      <c r="Z589" s="189"/>
      <c r="AA589" s="773"/>
      <c r="AB589" s="540"/>
      <c r="AC589" s="540"/>
      <c r="AD589" s="712"/>
      <c r="AE589" s="712"/>
      <c r="AF589" s="700"/>
      <c r="AG589" s="700"/>
      <c r="AH589" s="547"/>
      <c r="AI589" s="478"/>
      <c r="AJ589" s="189"/>
      <c r="AK589" s="568"/>
      <c r="AM589" s="661"/>
      <c r="AN589" s="662"/>
      <c r="AO589" s="662"/>
      <c r="AP589" s="616"/>
      <c r="AQ589" s="609"/>
      <c r="AR589" s="621"/>
      <c r="AS589" s="618"/>
      <c r="AU589" s="189"/>
      <c r="AV589" s="189"/>
      <c r="AW589" s="189"/>
      <c r="AX589" s="521"/>
      <c r="AY589" s="507"/>
      <c r="AZ589" s="189"/>
      <c r="BA589" s="189"/>
      <c r="BB589" s="189"/>
      <c r="BC589" s="517"/>
      <c r="BD589" s="189"/>
      <c r="BF589" s="445"/>
    </row>
    <row r="590" spans="1:58" ht="13.9" customHeight="1">
      <c r="A590" s="116"/>
      <c r="B590" s="100"/>
      <c r="C590" s="251" t="s">
        <v>2489</v>
      </c>
      <c r="D590" s="826"/>
      <c r="E590" s="110"/>
      <c r="F590" s="249"/>
      <c r="G590" s="190"/>
      <c r="H590" s="190"/>
      <c r="I590" s="190"/>
      <c r="J590" s="238">
        <v>1</v>
      </c>
      <c r="K590" s="238">
        <f t="shared" si="462"/>
        <v>0</v>
      </c>
      <c r="L590" s="238">
        <v>1</v>
      </c>
      <c r="M590" s="238">
        <f t="shared" si="463"/>
        <v>0</v>
      </c>
      <c r="N590" s="238">
        <v>1</v>
      </c>
      <c r="O590" s="238">
        <f t="shared" si="464"/>
        <v>0</v>
      </c>
      <c r="P590" s="238">
        <v>1</v>
      </c>
      <c r="Q590" s="238">
        <f t="shared" si="465"/>
        <v>0</v>
      </c>
      <c r="R590" s="238">
        <v>1</v>
      </c>
      <c r="S590" s="238">
        <f t="shared" si="466"/>
        <v>0</v>
      </c>
      <c r="T590" s="105">
        <v>5</v>
      </c>
      <c r="U590" s="105">
        <f t="shared" si="468"/>
        <v>0</v>
      </c>
      <c r="V590" s="399"/>
      <c r="W590" s="400"/>
      <c r="Y590" s="567"/>
      <c r="Z590" s="189"/>
      <c r="AA590" s="773"/>
      <c r="AB590" s="540"/>
      <c r="AC590" s="540"/>
      <c r="AD590" s="712"/>
      <c r="AE590" s="712"/>
      <c r="AF590" s="700"/>
      <c r="AG590" s="700"/>
      <c r="AH590" s="547"/>
      <c r="AI590" s="478"/>
      <c r="AJ590" s="189"/>
      <c r="AK590" s="568"/>
      <c r="AM590" s="661"/>
      <c r="AN590" s="662"/>
      <c r="AO590" s="662"/>
      <c r="AP590" s="616"/>
      <c r="AQ590" s="609"/>
      <c r="AR590" s="621"/>
      <c r="AS590" s="618"/>
      <c r="AU590" s="189"/>
      <c r="AV590" s="189"/>
      <c r="AW590" s="189"/>
      <c r="AX590" s="521"/>
      <c r="AY590" s="507"/>
      <c r="AZ590" s="189"/>
      <c r="BA590" s="189"/>
      <c r="BB590" s="189"/>
      <c r="BC590" s="517"/>
      <c r="BD590" s="189"/>
      <c r="BF590" s="445"/>
    </row>
    <row r="591" spans="1:58" ht="13.9" customHeight="1">
      <c r="A591" s="116"/>
      <c r="B591" s="100"/>
      <c r="C591" s="251" t="s">
        <v>2490</v>
      </c>
      <c r="D591" s="826"/>
      <c r="E591" s="110"/>
      <c r="F591" s="249"/>
      <c r="G591" s="190"/>
      <c r="H591" s="190"/>
      <c r="I591" s="190"/>
      <c r="J591" s="238">
        <v>1</v>
      </c>
      <c r="K591" s="238">
        <f t="shared" ref="K591:K596" si="469">J591*F591</f>
        <v>0</v>
      </c>
      <c r="L591" s="238">
        <v>1</v>
      </c>
      <c r="M591" s="238">
        <f t="shared" ref="M591:M596" si="470">L591*F591</f>
        <v>0</v>
      </c>
      <c r="N591" s="238">
        <v>1</v>
      </c>
      <c r="O591" s="238">
        <f t="shared" ref="O591:O596" si="471">N591*F591</f>
        <v>0</v>
      </c>
      <c r="P591" s="238">
        <v>1</v>
      </c>
      <c r="Q591" s="238">
        <f t="shared" ref="Q591:Q596" si="472">P591*F591</f>
        <v>0</v>
      </c>
      <c r="R591" s="238">
        <v>1</v>
      </c>
      <c r="S591" s="238">
        <f t="shared" ref="S591:S596" si="473">R591*F591</f>
        <v>0</v>
      </c>
      <c r="T591" s="105">
        <v>3</v>
      </c>
      <c r="U591" s="105">
        <f t="shared" si="468"/>
        <v>0</v>
      </c>
      <c r="V591" s="399"/>
      <c r="W591" s="400"/>
      <c r="Y591" s="567"/>
      <c r="Z591" s="189"/>
      <c r="AA591" s="773"/>
      <c r="AB591" s="540"/>
      <c r="AC591" s="540"/>
      <c r="AD591" s="712"/>
      <c r="AE591" s="712"/>
      <c r="AF591" s="700"/>
      <c r="AG591" s="700"/>
      <c r="AH591" s="547"/>
      <c r="AI591" s="478"/>
      <c r="AJ591" s="189"/>
      <c r="AK591" s="568"/>
      <c r="AM591" s="661"/>
      <c r="AN591" s="662"/>
      <c r="AO591" s="662"/>
      <c r="AP591" s="616"/>
      <c r="AQ591" s="609"/>
      <c r="AR591" s="621"/>
      <c r="AS591" s="618"/>
      <c r="AU591" s="189"/>
      <c r="AV591" s="189"/>
      <c r="AW591" s="189"/>
      <c r="AX591" s="521"/>
      <c r="AY591" s="507"/>
      <c r="AZ591" s="189"/>
      <c r="BA591" s="189"/>
      <c r="BB591" s="189"/>
      <c r="BC591" s="517"/>
      <c r="BD591" s="189"/>
      <c r="BF591" s="445"/>
    </row>
    <row r="592" spans="1:58" ht="13.9" customHeight="1">
      <c r="A592" s="116"/>
      <c r="B592" s="100"/>
      <c r="C592" s="251" t="s">
        <v>2491</v>
      </c>
      <c r="D592" s="826"/>
      <c r="E592" s="110"/>
      <c r="F592" s="249"/>
      <c r="G592" s="190"/>
      <c r="H592" s="190"/>
      <c r="I592" s="190"/>
      <c r="J592" s="238">
        <v>1</v>
      </c>
      <c r="K592" s="238">
        <f t="shared" si="469"/>
        <v>0</v>
      </c>
      <c r="L592" s="238">
        <v>1</v>
      </c>
      <c r="M592" s="238">
        <f t="shared" si="470"/>
        <v>0</v>
      </c>
      <c r="N592" s="238">
        <v>1</v>
      </c>
      <c r="O592" s="238">
        <f t="shared" si="471"/>
        <v>0</v>
      </c>
      <c r="P592" s="238">
        <v>1</v>
      </c>
      <c r="Q592" s="238">
        <f t="shared" si="472"/>
        <v>0</v>
      </c>
      <c r="R592" s="238">
        <v>1</v>
      </c>
      <c r="S592" s="238">
        <f t="shared" si="473"/>
        <v>0</v>
      </c>
      <c r="T592" s="105">
        <v>3</v>
      </c>
      <c r="U592" s="105">
        <f>T592*F592</f>
        <v>0</v>
      </c>
      <c r="V592" s="399"/>
      <c r="W592" s="400"/>
      <c r="Y592" s="567"/>
      <c r="Z592" s="189"/>
      <c r="AA592" s="773"/>
      <c r="AB592" s="540"/>
      <c r="AC592" s="540"/>
      <c r="AD592" s="712"/>
      <c r="AE592" s="712"/>
      <c r="AF592" s="700"/>
      <c r="AG592" s="700"/>
      <c r="AH592" s="547"/>
      <c r="AI592" s="478"/>
      <c r="AJ592" s="189"/>
      <c r="AK592" s="568"/>
      <c r="AM592" s="661"/>
      <c r="AN592" s="662"/>
      <c r="AO592" s="662"/>
      <c r="AP592" s="616"/>
      <c r="AQ592" s="609"/>
      <c r="AR592" s="621"/>
      <c r="AS592" s="618"/>
      <c r="AU592" s="189"/>
      <c r="AV592" s="189"/>
      <c r="AW592" s="189"/>
      <c r="AX592" s="521"/>
      <c r="AY592" s="507"/>
      <c r="AZ592" s="189"/>
      <c r="BA592" s="189"/>
      <c r="BB592" s="189"/>
      <c r="BC592" s="517"/>
      <c r="BD592" s="189"/>
      <c r="BF592" s="445"/>
    </row>
    <row r="593" spans="1:58" ht="13.9" customHeight="1">
      <c r="A593" s="116"/>
      <c r="B593" s="100"/>
      <c r="C593" s="251" t="s">
        <v>2492</v>
      </c>
      <c r="D593" s="826"/>
      <c r="E593" s="110"/>
      <c r="F593" s="249"/>
      <c r="G593" s="190"/>
      <c r="H593" s="190"/>
      <c r="I593" s="190"/>
      <c r="J593" s="238">
        <v>1</v>
      </c>
      <c r="K593" s="238">
        <f t="shared" si="469"/>
        <v>0</v>
      </c>
      <c r="L593" s="238">
        <v>1</v>
      </c>
      <c r="M593" s="238">
        <f t="shared" si="470"/>
        <v>0</v>
      </c>
      <c r="N593" s="238">
        <v>1</v>
      </c>
      <c r="O593" s="238">
        <f t="shared" si="471"/>
        <v>0</v>
      </c>
      <c r="P593" s="238">
        <v>1</v>
      </c>
      <c r="Q593" s="238">
        <f t="shared" si="472"/>
        <v>0</v>
      </c>
      <c r="R593" s="238">
        <v>1</v>
      </c>
      <c r="S593" s="238">
        <f t="shared" si="473"/>
        <v>0</v>
      </c>
      <c r="T593" s="105">
        <v>3</v>
      </c>
      <c r="U593" s="105">
        <f>T593*F593</f>
        <v>0</v>
      </c>
      <c r="V593" s="399"/>
      <c r="W593" s="400"/>
      <c r="Y593" s="567"/>
      <c r="Z593" s="189"/>
      <c r="AA593" s="773"/>
      <c r="AB593" s="540"/>
      <c r="AC593" s="540"/>
      <c r="AD593" s="712"/>
      <c r="AE593" s="712"/>
      <c r="AF593" s="700"/>
      <c r="AG593" s="700"/>
      <c r="AH593" s="547"/>
      <c r="AI593" s="478"/>
      <c r="AJ593" s="189"/>
      <c r="AK593" s="568"/>
      <c r="AM593" s="661"/>
      <c r="AN593" s="662"/>
      <c r="AO593" s="662"/>
      <c r="AP593" s="616"/>
      <c r="AQ593" s="609"/>
      <c r="AR593" s="621"/>
      <c r="AS593" s="618"/>
      <c r="AU593" s="189"/>
      <c r="AV593" s="189"/>
      <c r="AW593" s="189"/>
      <c r="AX593" s="521"/>
      <c r="AY593" s="507"/>
      <c r="AZ593" s="189"/>
      <c r="BA593" s="189"/>
      <c r="BB593" s="189"/>
      <c r="BC593" s="517"/>
      <c r="BD593" s="189"/>
      <c r="BF593" s="445"/>
    </row>
    <row r="594" spans="1:58" ht="13.9" customHeight="1">
      <c r="A594" s="116"/>
      <c r="B594" s="100"/>
      <c r="C594" s="251" t="s">
        <v>2493</v>
      </c>
      <c r="D594" s="826"/>
      <c r="E594" s="110"/>
      <c r="F594" s="249"/>
      <c r="G594" s="190"/>
      <c r="H594" s="190"/>
      <c r="I594" s="190"/>
      <c r="J594" s="238">
        <v>1</v>
      </c>
      <c r="K594" s="238">
        <f t="shared" si="469"/>
        <v>0</v>
      </c>
      <c r="L594" s="238">
        <v>1</v>
      </c>
      <c r="M594" s="238">
        <f t="shared" si="470"/>
        <v>0</v>
      </c>
      <c r="N594" s="238">
        <v>1</v>
      </c>
      <c r="O594" s="238">
        <f t="shared" si="471"/>
        <v>0</v>
      </c>
      <c r="P594" s="238">
        <v>1</v>
      </c>
      <c r="Q594" s="238">
        <f t="shared" si="472"/>
        <v>0</v>
      </c>
      <c r="R594" s="238">
        <v>1</v>
      </c>
      <c r="S594" s="238">
        <f t="shared" si="473"/>
        <v>0</v>
      </c>
      <c r="T594" s="105">
        <v>3</v>
      </c>
      <c r="U594" s="105">
        <f>T594*F594</f>
        <v>0</v>
      </c>
      <c r="V594" s="399"/>
      <c r="W594" s="400"/>
      <c r="Y594" s="567"/>
      <c r="Z594" s="189"/>
      <c r="AA594" s="773"/>
      <c r="AB594" s="540"/>
      <c r="AC594" s="540"/>
      <c r="AD594" s="712"/>
      <c r="AE594" s="712"/>
      <c r="AF594" s="700"/>
      <c r="AG594" s="700"/>
      <c r="AH594" s="547"/>
      <c r="AI594" s="478"/>
      <c r="AJ594" s="189"/>
      <c r="AK594" s="568"/>
      <c r="AM594" s="661"/>
      <c r="AN594" s="662"/>
      <c r="AO594" s="662"/>
      <c r="AP594" s="616"/>
      <c r="AQ594" s="609"/>
      <c r="AR594" s="621"/>
      <c r="AS594" s="618"/>
      <c r="AU594" s="189"/>
      <c r="AV594" s="189"/>
      <c r="AW594" s="189"/>
      <c r="AX594" s="521"/>
      <c r="AY594" s="507"/>
      <c r="AZ594" s="189"/>
      <c r="BA594" s="189"/>
      <c r="BB594" s="189"/>
      <c r="BC594" s="517"/>
      <c r="BD594" s="189"/>
      <c r="BF594" s="445"/>
    </row>
    <row r="595" spans="1:58" ht="13.9" customHeight="1">
      <c r="A595" s="116"/>
      <c r="B595" s="100"/>
      <c r="C595" s="251" t="s">
        <v>2494</v>
      </c>
      <c r="D595" s="826"/>
      <c r="E595" s="110"/>
      <c r="F595" s="249"/>
      <c r="G595" s="190"/>
      <c r="H595" s="190"/>
      <c r="I595" s="190"/>
      <c r="J595" s="238">
        <v>1</v>
      </c>
      <c r="K595" s="238">
        <f t="shared" si="469"/>
        <v>0</v>
      </c>
      <c r="L595" s="238">
        <v>1</v>
      </c>
      <c r="M595" s="238">
        <f t="shared" si="470"/>
        <v>0</v>
      </c>
      <c r="N595" s="238">
        <v>1</v>
      </c>
      <c r="O595" s="238">
        <f t="shared" si="471"/>
        <v>0</v>
      </c>
      <c r="P595" s="238">
        <v>1</v>
      </c>
      <c r="Q595" s="238">
        <f t="shared" si="472"/>
        <v>0</v>
      </c>
      <c r="R595" s="238">
        <v>1</v>
      </c>
      <c r="S595" s="238">
        <f t="shared" si="473"/>
        <v>0</v>
      </c>
      <c r="T595" s="105">
        <v>3</v>
      </c>
      <c r="U595" s="105">
        <f>T595*F595</f>
        <v>0</v>
      </c>
      <c r="V595" s="399"/>
      <c r="W595" s="400"/>
      <c r="Y595" s="567"/>
      <c r="Z595" s="189"/>
      <c r="AA595" s="773"/>
      <c r="AB595" s="540"/>
      <c r="AC595" s="540"/>
      <c r="AD595" s="712"/>
      <c r="AE595" s="712"/>
      <c r="AF595" s="700"/>
      <c r="AG595" s="700"/>
      <c r="AH595" s="547"/>
      <c r="AI595" s="478"/>
      <c r="AJ595" s="189"/>
      <c r="AK595" s="568"/>
      <c r="AM595" s="661"/>
      <c r="AN595" s="662"/>
      <c r="AO595" s="662"/>
      <c r="AP595" s="616"/>
      <c r="AQ595" s="609"/>
      <c r="AR595" s="621"/>
      <c r="AS595" s="618"/>
      <c r="AU595" s="189"/>
      <c r="AV595" s="189"/>
      <c r="AW595" s="189"/>
      <c r="AX595" s="521"/>
      <c r="AY595" s="507"/>
      <c r="AZ595" s="189"/>
      <c r="BA595" s="189"/>
      <c r="BB595" s="189"/>
      <c r="BC595" s="517"/>
      <c r="BD595" s="189"/>
      <c r="BF595" s="445"/>
    </row>
    <row r="596" spans="1:58" ht="13.9" customHeight="1">
      <c r="A596" s="116"/>
      <c r="B596" s="100"/>
      <c r="C596" s="251" t="s">
        <v>2495</v>
      </c>
      <c r="D596" s="826"/>
      <c r="E596" s="110"/>
      <c r="F596" s="249"/>
      <c r="G596" s="190"/>
      <c r="H596" s="190"/>
      <c r="I596" s="190"/>
      <c r="J596" s="238">
        <v>1</v>
      </c>
      <c r="K596" s="238">
        <f t="shared" si="469"/>
        <v>0</v>
      </c>
      <c r="L596" s="238">
        <v>1</v>
      </c>
      <c r="M596" s="238">
        <f t="shared" si="470"/>
        <v>0</v>
      </c>
      <c r="N596" s="238">
        <v>1</v>
      </c>
      <c r="O596" s="238">
        <f t="shared" si="471"/>
        <v>0</v>
      </c>
      <c r="P596" s="238">
        <v>0.5</v>
      </c>
      <c r="Q596" s="238">
        <f t="shared" si="472"/>
        <v>0</v>
      </c>
      <c r="R596" s="238">
        <v>0.5</v>
      </c>
      <c r="S596" s="238">
        <f t="shared" si="473"/>
        <v>0</v>
      </c>
      <c r="T596" s="105">
        <v>3</v>
      </c>
      <c r="U596" s="105">
        <f t="shared" ref="U596:U602" si="474">T596*F596</f>
        <v>0</v>
      </c>
      <c r="V596" s="399"/>
      <c r="W596" s="400"/>
      <c r="Y596" s="567"/>
      <c r="Z596" s="189"/>
      <c r="AA596" s="773"/>
      <c r="AB596" s="540"/>
      <c r="AC596" s="540"/>
      <c r="AD596" s="712"/>
      <c r="AE596" s="712"/>
      <c r="AF596" s="700"/>
      <c r="AG596" s="700"/>
      <c r="AH596" s="547"/>
      <c r="AI596" s="478"/>
      <c r="AJ596" s="189"/>
      <c r="AK596" s="568"/>
      <c r="AM596" s="661"/>
      <c r="AN596" s="662"/>
      <c r="AO596" s="662"/>
      <c r="AP596" s="616"/>
      <c r="AQ596" s="609"/>
      <c r="AR596" s="621"/>
      <c r="AS596" s="618"/>
      <c r="AU596" s="189"/>
      <c r="AV596" s="189"/>
      <c r="AW596" s="189"/>
      <c r="AX596" s="521"/>
      <c r="AY596" s="507"/>
      <c r="AZ596" s="189"/>
      <c r="BA596" s="189"/>
      <c r="BB596" s="189"/>
      <c r="BC596" s="517"/>
      <c r="BD596" s="189"/>
      <c r="BF596" s="445"/>
    </row>
    <row r="597" spans="1:58" ht="15" customHeight="1">
      <c r="A597" s="116"/>
      <c r="B597" s="428" t="s">
        <v>2496</v>
      </c>
      <c r="C597" s="251" t="s">
        <v>2497</v>
      </c>
      <c r="D597" s="826"/>
      <c r="E597" s="110"/>
      <c r="F597" s="249"/>
      <c r="G597" s="190"/>
      <c r="H597" s="190"/>
      <c r="I597" s="190"/>
      <c r="J597" s="238">
        <v>5</v>
      </c>
      <c r="K597" s="238">
        <f>F597*J597</f>
        <v>0</v>
      </c>
      <c r="L597" s="238">
        <f>J597+J597*5%</f>
        <v>5.25</v>
      </c>
      <c r="M597" s="238">
        <f>F597*L597</f>
        <v>0</v>
      </c>
      <c r="N597" s="238">
        <f>J597+J597*10%</f>
        <v>5.5</v>
      </c>
      <c r="O597" s="238">
        <f>F597*N597</f>
        <v>0</v>
      </c>
      <c r="P597" s="238">
        <f>J597+J597*15%</f>
        <v>5.75</v>
      </c>
      <c r="Q597" s="238">
        <f>F597*P597</f>
        <v>0</v>
      </c>
      <c r="R597" s="238">
        <f>J597+J597*25%</f>
        <v>6.25</v>
      </c>
      <c r="S597" s="238">
        <f t="shared" ref="S597:S601" si="475">F597*R597</f>
        <v>0</v>
      </c>
      <c r="T597" s="105">
        <v>5</v>
      </c>
      <c r="U597" s="105">
        <f t="shared" si="474"/>
        <v>0</v>
      </c>
      <c r="V597" s="399"/>
      <c r="W597" s="400"/>
      <c r="Y597" s="567"/>
      <c r="Z597" s="189"/>
      <c r="AA597" s="773"/>
      <c r="AB597" s="540"/>
      <c r="AC597" s="540"/>
      <c r="AD597" s="712"/>
      <c r="AE597" s="712"/>
      <c r="AF597" s="700"/>
      <c r="AG597" s="700"/>
      <c r="AH597" s="547"/>
      <c r="AI597" s="478"/>
      <c r="AJ597" s="189"/>
      <c r="AK597" s="568"/>
      <c r="AM597" s="661"/>
      <c r="AN597" s="662"/>
      <c r="AO597" s="662"/>
      <c r="AP597" s="616"/>
      <c r="AQ597" s="609"/>
      <c r="AR597" s="621"/>
      <c r="AS597" s="618"/>
      <c r="AU597" s="189"/>
      <c r="AV597" s="189"/>
      <c r="AW597" s="189"/>
      <c r="AX597" s="521"/>
      <c r="AY597" s="507"/>
      <c r="AZ597" s="189"/>
      <c r="BA597" s="189"/>
      <c r="BB597" s="189"/>
      <c r="BC597" s="517"/>
      <c r="BD597" s="189"/>
      <c r="BF597" s="445"/>
    </row>
    <row r="598" spans="1:58" ht="15" customHeight="1">
      <c r="A598" s="116"/>
      <c r="B598" s="100">
        <v>2220</v>
      </c>
      <c r="C598" s="251" t="s">
        <v>2498</v>
      </c>
      <c r="D598" s="826"/>
      <c r="E598" s="110"/>
      <c r="F598" s="249"/>
      <c r="G598" s="190"/>
      <c r="H598" s="190"/>
      <c r="I598" s="190"/>
      <c r="J598" s="238">
        <v>55</v>
      </c>
      <c r="K598" s="238">
        <f>J598*F598</f>
        <v>0</v>
      </c>
      <c r="L598" s="238">
        <f t="shared" ref="L598:L601" si="476">J598+J598*5%</f>
        <v>57.75</v>
      </c>
      <c r="M598" s="238">
        <f>L598*F598</f>
        <v>0</v>
      </c>
      <c r="N598" s="238">
        <f t="shared" ref="N598:N601" si="477">J598+J598*10%</f>
        <v>60.5</v>
      </c>
      <c r="O598" s="238">
        <f>N598*F598</f>
        <v>0</v>
      </c>
      <c r="P598" s="238">
        <f t="shared" ref="P598:P601" si="478">J598+J598*15%</f>
        <v>63.25</v>
      </c>
      <c r="Q598" s="238">
        <f>P598*F598</f>
        <v>0</v>
      </c>
      <c r="R598" s="238">
        <f t="shared" ref="R598:R601" si="479">J598+J598*25%</f>
        <v>68.75</v>
      </c>
      <c r="S598" s="238">
        <f t="shared" si="475"/>
        <v>0</v>
      </c>
      <c r="T598" s="105">
        <v>5</v>
      </c>
      <c r="U598" s="105">
        <f t="shared" si="474"/>
        <v>0</v>
      </c>
      <c r="V598" s="399"/>
      <c r="W598" s="400"/>
      <c r="Y598" s="567"/>
      <c r="Z598" s="189"/>
      <c r="AA598" s="773"/>
      <c r="AB598" s="540"/>
      <c r="AC598" s="540"/>
      <c r="AD598" s="712"/>
      <c r="AE598" s="712"/>
      <c r="AF598" s="700"/>
      <c r="AG598" s="700"/>
      <c r="AH598" s="547"/>
      <c r="AI598" s="478"/>
      <c r="AJ598" s="189"/>
      <c r="AK598" s="568"/>
      <c r="AM598" s="661"/>
      <c r="AN598" s="662"/>
      <c r="AO598" s="662"/>
      <c r="AP598" s="616"/>
      <c r="AQ598" s="609"/>
      <c r="AR598" s="621"/>
      <c r="AS598" s="618"/>
      <c r="AU598" s="189"/>
      <c r="AV598" s="189"/>
      <c r="AW598" s="189"/>
      <c r="AX598" s="521"/>
      <c r="AY598" s="507"/>
      <c r="AZ598" s="189"/>
      <c r="BA598" s="189"/>
      <c r="BB598" s="189"/>
      <c r="BC598" s="517"/>
      <c r="BD598" s="189"/>
      <c r="BF598" s="445"/>
    </row>
    <row r="599" spans="1:58" ht="13.9" customHeight="1">
      <c r="A599" s="116"/>
      <c r="B599" s="100">
        <v>1784</v>
      </c>
      <c r="C599" s="251" t="s">
        <v>2499</v>
      </c>
      <c r="D599" s="826"/>
      <c r="E599" s="110"/>
      <c r="F599" s="249"/>
      <c r="G599" s="190"/>
      <c r="H599" s="190"/>
      <c r="I599" s="190"/>
      <c r="J599" s="238">
        <v>4.5</v>
      </c>
      <c r="K599" s="238">
        <f>F599*J599</f>
        <v>0</v>
      </c>
      <c r="L599" s="238">
        <f t="shared" si="476"/>
        <v>4.7249999999999996</v>
      </c>
      <c r="M599" s="238">
        <f>F599*L599</f>
        <v>0</v>
      </c>
      <c r="N599" s="238">
        <f t="shared" si="477"/>
        <v>4.95</v>
      </c>
      <c r="O599" s="238">
        <f>F599*N599</f>
        <v>0</v>
      </c>
      <c r="P599" s="238">
        <f t="shared" si="478"/>
        <v>5.1749999999999998</v>
      </c>
      <c r="Q599" s="238">
        <f>F599*P599</f>
        <v>0</v>
      </c>
      <c r="R599" s="238">
        <f t="shared" si="479"/>
        <v>5.625</v>
      </c>
      <c r="S599" s="238">
        <f t="shared" si="475"/>
        <v>0</v>
      </c>
      <c r="T599" s="105">
        <v>15</v>
      </c>
      <c r="U599" s="105">
        <f t="shared" si="474"/>
        <v>0</v>
      </c>
      <c r="V599" s="399"/>
      <c r="W599" s="400"/>
      <c r="Y599" s="567"/>
      <c r="Z599" s="189"/>
      <c r="AA599" s="773"/>
      <c r="AB599" s="540"/>
      <c r="AC599" s="540"/>
      <c r="AD599" s="712"/>
      <c r="AE599" s="712"/>
      <c r="AF599" s="700"/>
      <c r="AG599" s="700"/>
      <c r="AH599" s="547"/>
      <c r="AI599" s="478"/>
      <c r="AJ599" s="189"/>
      <c r="AK599" s="568"/>
      <c r="AM599" s="661"/>
      <c r="AN599" s="662"/>
      <c r="AO599" s="662"/>
      <c r="AP599" s="616"/>
      <c r="AQ599" s="609"/>
      <c r="AR599" s="621"/>
      <c r="AS599" s="618"/>
      <c r="AU599" s="189"/>
      <c r="AV599" s="189"/>
      <c r="AW599" s="189"/>
      <c r="AX599" s="521"/>
      <c r="AY599" s="507"/>
      <c r="AZ599" s="189"/>
      <c r="BA599" s="189"/>
      <c r="BB599" s="189"/>
      <c r="BC599" s="517"/>
      <c r="BD599" s="189"/>
      <c r="BF599" s="445"/>
    </row>
    <row r="600" spans="1:58" ht="15" customHeight="1">
      <c r="A600" s="116"/>
      <c r="B600" s="100">
        <v>1291</v>
      </c>
      <c r="C600" s="251" t="s">
        <v>2500</v>
      </c>
      <c r="D600" s="826"/>
      <c r="E600" s="110"/>
      <c r="F600" s="249"/>
      <c r="G600" s="190"/>
      <c r="H600" s="190"/>
      <c r="I600" s="190"/>
      <c r="J600" s="315">
        <v>750</v>
      </c>
      <c r="K600" s="238">
        <f>F600*J600</f>
        <v>0</v>
      </c>
      <c r="L600" s="238">
        <f t="shared" si="476"/>
        <v>787.5</v>
      </c>
      <c r="M600" s="238">
        <f>F600*L600</f>
        <v>0</v>
      </c>
      <c r="N600" s="238">
        <f t="shared" si="477"/>
        <v>825</v>
      </c>
      <c r="O600" s="238">
        <f>F600*N600</f>
        <v>0</v>
      </c>
      <c r="P600" s="238">
        <f t="shared" si="478"/>
        <v>862.5</v>
      </c>
      <c r="Q600" s="238">
        <f>F600*P600</f>
        <v>0</v>
      </c>
      <c r="R600" s="238">
        <f t="shared" si="479"/>
        <v>937.5</v>
      </c>
      <c r="S600" s="238">
        <f t="shared" si="475"/>
        <v>0</v>
      </c>
      <c r="T600" s="105">
        <v>350</v>
      </c>
      <c r="U600" s="105">
        <f t="shared" si="474"/>
        <v>0</v>
      </c>
      <c r="V600" s="399"/>
      <c r="W600" s="400"/>
      <c r="Y600" s="567"/>
      <c r="Z600" s="189"/>
      <c r="AA600" s="773"/>
      <c r="AB600" s="540"/>
      <c r="AC600" s="540"/>
      <c r="AD600" s="712"/>
      <c r="AE600" s="712"/>
      <c r="AF600" s="700"/>
      <c r="AG600" s="700"/>
      <c r="AH600" s="547"/>
      <c r="AI600" s="478"/>
      <c r="AJ600" s="189"/>
      <c r="AK600" s="568"/>
      <c r="AM600" s="661"/>
      <c r="AN600" s="662"/>
      <c r="AO600" s="662"/>
      <c r="AP600" s="616"/>
      <c r="AQ600" s="609"/>
      <c r="AR600" s="621"/>
      <c r="AS600" s="618"/>
      <c r="AU600" s="189"/>
      <c r="AV600" s="189"/>
      <c r="AW600" s="189"/>
      <c r="AX600" s="521"/>
      <c r="AY600" s="507"/>
      <c r="AZ600" s="189"/>
      <c r="BA600" s="189"/>
      <c r="BB600" s="189"/>
      <c r="BC600" s="517"/>
      <c r="BD600" s="189"/>
      <c r="BF600" s="445"/>
    </row>
    <row r="601" spans="1:58" ht="14.45" customHeight="1">
      <c r="A601" s="116"/>
      <c r="B601" s="100">
        <v>1772</v>
      </c>
      <c r="C601" s="251" t="s">
        <v>2501</v>
      </c>
      <c r="D601" s="826"/>
      <c r="E601" s="110"/>
      <c r="F601" s="249"/>
      <c r="G601" s="190"/>
      <c r="H601" s="190"/>
      <c r="I601" s="190"/>
      <c r="J601" s="315">
        <v>180</v>
      </c>
      <c r="K601" s="238">
        <f>F601*J601</f>
        <v>0</v>
      </c>
      <c r="L601" s="238">
        <f t="shared" si="476"/>
        <v>189</v>
      </c>
      <c r="M601" s="238">
        <f>F601*L601</f>
        <v>0</v>
      </c>
      <c r="N601" s="238">
        <f t="shared" si="477"/>
        <v>198</v>
      </c>
      <c r="O601" s="238">
        <f>F601*N601</f>
        <v>0</v>
      </c>
      <c r="P601" s="238">
        <f t="shared" si="478"/>
        <v>207</v>
      </c>
      <c r="Q601" s="238">
        <f>F601*P601</f>
        <v>0</v>
      </c>
      <c r="R601" s="238">
        <f t="shared" si="479"/>
        <v>225</v>
      </c>
      <c r="S601" s="238">
        <f t="shared" si="475"/>
        <v>0</v>
      </c>
      <c r="T601" s="105">
        <v>152.19999999999999</v>
      </c>
      <c r="U601" s="105">
        <f t="shared" si="474"/>
        <v>0</v>
      </c>
      <c r="V601" s="399"/>
      <c r="W601" s="400"/>
      <c r="Y601" s="567"/>
      <c r="Z601" s="189"/>
      <c r="AA601" s="773"/>
      <c r="AB601" s="540"/>
      <c r="AC601" s="540"/>
      <c r="AD601" s="712"/>
      <c r="AE601" s="712"/>
      <c r="AF601" s="700"/>
      <c r="AG601" s="700"/>
      <c r="AH601" s="547"/>
      <c r="AI601" s="478"/>
      <c r="AJ601" s="189"/>
      <c r="AK601" s="568"/>
      <c r="AM601" s="661"/>
      <c r="AN601" s="662"/>
      <c r="AO601" s="662"/>
      <c r="AP601" s="616"/>
      <c r="AQ601" s="609"/>
      <c r="AR601" s="621"/>
      <c r="AS601" s="618"/>
      <c r="AU601" s="189"/>
      <c r="AV601" s="189"/>
      <c r="AW601" s="189"/>
      <c r="AX601" s="521"/>
      <c r="AY601" s="507"/>
      <c r="AZ601" s="189"/>
      <c r="BA601" s="189"/>
      <c r="BB601" s="189"/>
      <c r="BC601" s="517"/>
      <c r="BD601" s="189"/>
      <c r="BF601" s="445"/>
    </row>
    <row r="602" spans="1:58" ht="17.25" customHeight="1">
      <c r="A602" s="116"/>
      <c r="B602" s="100"/>
      <c r="C602" s="251" t="s">
        <v>2502</v>
      </c>
      <c r="D602" s="826"/>
      <c r="E602" s="110"/>
      <c r="F602" s="249"/>
      <c r="G602" s="190"/>
      <c r="H602" s="190"/>
      <c r="I602" s="190"/>
      <c r="J602" s="238"/>
      <c r="K602" s="238"/>
      <c r="L602" s="238"/>
      <c r="M602" s="238"/>
      <c r="N602" s="238"/>
      <c r="O602" s="238"/>
      <c r="P602" s="238"/>
      <c r="Q602" s="238"/>
      <c r="R602" s="238"/>
      <c r="S602" s="238"/>
      <c r="T602" s="105">
        <v>20</v>
      </c>
      <c r="U602" s="105">
        <f t="shared" si="474"/>
        <v>0</v>
      </c>
      <c r="V602" s="399"/>
      <c r="W602" s="400"/>
      <c r="Y602" s="567"/>
      <c r="Z602" s="189"/>
      <c r="AA602" s="773"/>
      <c r="AB602" s="540"/>
      <c r="AC602" s="540"/>
      <c r="AD602" s="712"/>
      <c r="AE602" s="712"/>
      <c r="AF602" s="700"/>
      <c r="AG602" s="700"/>
      <c r="AH602" s="547"/>
      <c r="AI602" s="478"/>
      <c r="AJ602" s="189"/>
      <c r="AK602" s="568"/>
      <c r="AM602" s="661"/>
      <c r="AN602" s="662"/>
      <c r="AO602" s="662"/>
      <c r="AP602" s="616"/>
      <c r="AQ602" s="609"/>
      <c r="AR602" s="621"/>
      <c r="AS602" s="618"/>
      <c r="AU602" s="189"/>
      <c r="AV602" s="189"/>
      <c r="AW602" s="189"/>
      <c r="AX602" s="521"/>
      <c r="AY602" s="507"/>
      <c r="AZ602" s="189"/>
      <c r="BA602" s="189"/>
      <c r="BB602" s="189"/>
      <c r="BC602" s="517"/>
      <c r="BD602" s="189"/>
      <c r="BF602" s="445"/>
    </row>
    <row r="603" spans="1:58" s="41" customFormat="1" ht="15" customHeight="1" thickBot="1">
      <c r="A603" s="485" t="s">
        <v>156</v>
      </c>
      <c r="B603" s="333"/>
      <c r="C603" s="429" t="s">
        <v>2503</v>
      </c>
      <c r="D603" s="842"/>
      <c r="E603" s="430"/>
      <c r="F603" s="431"/>
      <c r="G603" s="359"/>
      <c r="H603" s="359"/>
      <c r="I603" s="359"/>
      <c r="J603" s="366"/>
      <c r="K603" s="357">
        <f>K573+K546+K543+K525+K470+K439+K435+K429+K422+K410+K405+K397+K393+K382+K374+K367+K358+K340+K334+K316+K308+K304+K297+K286+K280+K276+K269+K266+K246+K240+K233+K209+K197+K189+K166+K149+K135+K120+K102+K83+K79+K74+K70+K57+K18+K291+K67</f>
        <v>0</v>
      </c>
      <c r="L603" s="357"/>
      <c r="M603" s="357">
        <f>M573+M546+M543+M525+M470+M439+M435+M429+M422+M410+M405+M397+M393+M382+M374+M367+M358+M340+M334+M316+M308+M304+M297+M286+M280+M276+M269+M266+M246+M240+M233+M209+M197+M189+M166+M149+M135+M120+M102+M83+M79+M74+M70+M57+M18+M67</f>
        <v>0</v>
      </c>
      <c r="N603" s="357"/>
      <c r="O603" s="357">
        <f>O573+O546+O543+O525+O470+O439+O435+O429+O422+O410+O405+O397+O393+O382+O374+O367+O358+O340+O334+O316+O308+O304+O297+O286+O280+O276+O269+O266+O246++O240+O233+O209+O197+O189+O166+O149+O135+O120+O102+O83+O79+O74+O70+O57+O18+O67</f>
        <v>0</v>
      </c>
      <c r="P603" s="357"/>
      <c r="Q603" s="357">
        <f>Q573+Q546+Q543+Q525+Q470+Q439+Q435+Q429+Q422+Q410+Q405+Q397+Q393+Q382+Q374+Q367+Q358+Q340+Q334+Q316+Q308+Q304+Q297+Q286+Q280+Q276+Q269+Q266+Q246+Q240+P614+Q233+Q209+Q197+Q189+Q166+Q149+Q135+Q120+Q102+Q83+Q79+Q74+Q70+Q57+Q18+Q67</f>
        <v>0</v>
      </c>
      <c r="R603" s="357"/>
      <c r="S603" s="357">
        <f>S573+S546+S543+S525+S470+S439+S435+S429+S422+S410+S405+S397+S393+S382+S374+S367+S358+S340+S334+S316+S308+S304+S297+S286+S280+S276+S269+S266+S246+S240+S233+S209+S197+S189+S166+S149+S135+S120+S102+S83+S79+S74+S70+S57+S18+S67</f>
        <v>0</v>
      </c>
      <c r="T603" s="1076"/>
      <c r="U603" s="1076"/>
      <c r="V603" s="293"/>
      <c r="W603" s="293"/>
      <c r="X603" s="585"/>
      <c r="Y603" s="578"/>
      <c r="Z603" s="579"/>
      <c r="AA603" s="779"/>
      <c r="AB603" s="580"/>
      <c r="AC603" s="580"/>
      <c r="AD603" s="721"/>
      <c r="AE603" s="721"/>
      <c r="AF603" s="704"/>
      <c r="AG603" s="704"/>
      <c r="AH603" s="581"/>
      <c r="AI603" s="680"/>
      <c r="AJ603" s="579"/>
      <c r="AK603" s="582"/>
      <c r="AL603" s="554"/>
      <c r="AM603" s="578"/>
      <c r="AN603" s="579"/>
      <c r="AO603" s="579"/>
      <c r="AP603" s="579"/>
      <c r="AQ603" s="579"/>
      <c r="AR603" s="579"/>
      <c r="AS603" s="582"/>
      <c r="AU603" s="293"/>
      <c r="AV603" s="293"/>
      <c r="AW603" s="293"/>
      <c r="AX603" s="293"/>
      <c r="AY603" s="293"/>
      <c r="AZ603" s="293"/>
      <c r="BA603" s="293"/>
      <c r="BB603" s="293"/>
      <c r="BC603" s="293"/>
      <c r="BD603" s="293"/>
      <c r="BF603" s="443"/>
    </row>
    <row r="604" spans="1:58" ht="15.75" customHeight="1">
      <c r="J604" s="268"/>
      <c r="K604" s="268" t="s">
        <v>2504</v>
      </c>
      <c r="M604" s="268"/>
      <c r="O604" s="268"/>
      <c r="Q604" s="268"/>
      <c r="S604" s="268"/>
      <c r="U604" s="8"/>
      <c r="AA604" s="780"/>
      <c r="AB604" s="544"/>
      <c r="AC604" s="544"/>
      <c r="AD604" s="722"/>
      <c r="AE604" s="722"/>
      <c r="AF604" s="705"/>
      <c r="AG604" s="705"/>
      <c r="AY604" s="533"/>
      <c r="BF604" s="532"/>
    </row>
    <row r="605" spans="1:58">
      <c r="AA605" s="544"/>
      <c r="AB605" s="544"/>
      <c r="AC605" s="544"/>
      <c r="AD605" s="722"/>
      <c r="AE605" s="722"/>
      <c r="AF605" s="705"/>
      <c r="AG605" s="705"/>
    </row>
  </sheetData>
  <sheetProtection selectLockedCells="1" selectUnlockedCells="1"/>
  <autoFilter ref="D16:F605" xr:uid="{00000000-0009-0000-0000-000000000000}">
    <filterColumn colId="0">
      <filters blank="1"/>
    </filterColumn>
  </autoFilter>
  <mergeCells count="67">
    <mergeCell ref="BD16:BD17"/>
    <mergeCell ref="E2:K2"/>
    <mergeCell ref="E3:K3"/>
    <mergeCell ref="E4:K4"/>
    <mergeCell ref="E5:K5"/>
    <mergeCell ref="E6:K6"/>
    <mergeCell ref="W16:W17"/>
    <mergeCell ref="Y16:Y17"/>
    <mergeCell ref="Z16:Z17"/>
    <mergeCell ref="F15:K15"/>
    <mergeCell ref="F16:F17"/>
    <mergeCell ref="G16:G17"/>
    <mergeCell ref="H16:I17"/>
    <mergeCell ref="J16:K16"/>
    <mergeCell ref="AQ16:AQ17"/>
    <mergeCell ref="BC16:BC17"/>
    <mergeCell ref="BA16:BA17"/>
    <mergeCell ref="BB16:BB17"/>
    <mergeCell ref="AU16:AU17"/>
    <mergeCell ref="AV16:AV17"/>
    <mergeCell ref="T603:U603"/>
    <mergeCell ref="T16:U16"/>
    <mergeCell ref="AC16:AC17"/>
    <mergeCell ref="AF16:AF17"/>
    <mergeCell ref="AG16:AG17"/>
    <mergeCell ref="AK16:AK17"/>
    <mergeCell ref="AD16:AD17"/>
    <mergeCell ref="AE16:AE17"/>
    <mergeCell ref="A16:A17"/>
    <mergeCell ref="B16:B17"/>
    <mergeCell ref="C16:C17"/>
    <mergeCell ref="AA16:AA17"/>
    <mergeCell ref="AZ16:AZ17"/>
    <mergeCell ref="L16:M16"/>
    <mergeCell ref="N16:O16"/>
    <mergeCell ref="P16:Q16"/>
    <mergeCell ref="R16:S16"/>
    <mergeCell ref="AS16:AS17"/>
    <mergeCell ref="AM16:AM17"/>
    <mergeCell ref="AP16:AP17"/>
    <mergeCell ref="AR16:AR17"/>
    <mergeCell ref="AO16:AO17"/>
    <mergeCell ref="AN16:AN17"/>
    <mergeCell ref="AB16:AB17"/>
    <mergeCell ref="A7:A15"/>
    <mergeCell ref="B8:C8"/>
    <mergeCell ref="B14:C14"/>
    <mergeCell ref="B15:C15"/>
    <mergeCell ref="F8:K8"/>
    <mergeCell ref="F9:K9"/>
    <mergeCell ref="F10:K10"/>
    <mergeCell ref="F11:K11"/>
    <mergeCell ref="F12:K12"/>
    <mergeCell ref="F13:K13"/>
    <mergeCell ref="F14:K14"/>
    <mergeCell ref="B2:C2"/>
    <mergeCell ref="B11:C11"/>
    <mergeCell ref="B12:C12"/>
    <mergeCell ref="B13:C13"/>
    <mergeCell ref="B9:C9"/>
    <mergeCell ref="B10:C10"/>
    <mergeCell ref="B7:K7"/>
    <mergeCell ref="A3:A6"/>
    <mergeCell ref="B3:C3"/>
    <mergeCell ref="B4:C4"/>
    <mergeCell ref="B5:C5"/>
    <mergeCell ref="B6:C6"/>
  </mergeCells>
  <hyperlinks>
    <hyperlink ref="AP71" r:id="rId1" xr:uid="{00000000-0004-0000-0000-000000000000}"/>
    <hyperlink ref="AP72" r:id="rId2" xr:uid="{00000000-0004-0000-0000-000001000000}"/>
    <hyperlink ref="AQ153" r:id="rId3" xr:uid="{00000000-0004-0000-0000-000002000000}"/>
    <hyperlink ref="AQ544" r:id="rId4" xr:uid="{00000000-0004-0000-0000-000003000000}"/>
    <hyperlink ref="AQ154" r:id="rId5" xr:uid="{00000000-0004-0000-0000-000004000000}"/>
    <hyperlink ref="AQ152" r:id="rId6" xr:uid="{00000000-0004-0000-0000-000005000000}"/>
    <hyperlink ref="AQ151" r:id="rId7" xr:uid="{00000000-0004-0000-0000-000006000000}"/>
    <hyperlink ref="AQ150" r:id="rId8" xr:uid="{00000000-0004-0000-0000-000007000000}"/>
    <hyperlink ref="AQ161" r:id="rId9" xr:uid="{00000000-0004-0000-0000-000008000000}"/>
    <hyperlink ref="AQ136" r:id="rId10" xr:uid="{00000000-0004-0000-0000-000009000000}"/>
    <hyperlink ref="AQ123" r:id="rId11" xr:uid="{00000000-0004-0000-0000-00000A000000}"/>
    <hyperlink ref="AQ122" r:id="rId12" xr:uid="{00000000-0004-0000-0000-00000B000000}"/>
    <hyperlink ref="AQ104" r:id="rId13" xr:uid="{00000000-0004-0000-0000-00000C000000}"/>
    <hyperlink ref="AQ103" r:id="rId14" xr:uid="{00000000-0004-0000-0000-00000D000000}"/>
    <hyperlink ref="AP86" r:id="rId15" xr:uid="{00000000-0004-0000-0000-00000E000000}"/>
    <hyperlink ref="AP101" r:id="rId16" xr:uid="{00000000-0004-0000-0000-00000F000000}"/>
    <hyperlink ref="AP100" r:id="rId17" xr:uid="{00000000-0004-0000-0000-000010000000}"/>
    <hyperlink ref="AP97" r:id="rId18" xr:uid="{00000000-0004-0000-0000-000011000000}"/>
    <hyperlink ref="AP96" r:id="rId19" xr:uid="{00000000-0004-0000-0000-000012000000}"/>
    <hyperlink ref="AP95" r:id="rId20" xr:uid="{00000000-0004-0000-0000-000013000000}"/>
    <hyperlink ref="AP94" r:id="rId21" xr:uid="{00000000-0004-0000-0000-000014000000}"/>
    <hyperlink ref="AP93" r:id="rId22" xr:uid="{00000000-0004-0000-0000-000015000000}"/>
    <hyperlink ref="AP89" r:id="rId23" xr:uid="{00000000-0004-0000-0000-000016000000}"/>
    <hyperlink ref="AP88" r:id="rId24" xr:uid="{00000000-0004-0000-0000-000017000000}"/>
    <hyperlink ref="AP87" r:id="rId25" xr:uid="{00000000-0004-0000-0000-000018000000}"/>
    <hyperlink ref="AP90" r:id="rId26" xr:uid="{00000000-0004-0000-0000-000019000000}"/>
    <hyperlink ref="AP85" r:id="rId27" xr:uid="{00000000-0004-0000-0000-00001A000000}"/>
    <hyperlink ref="AP84" r:id="rId28" xr:uid="{00000000-0004-0000-0000-00001B000000}"/>
    <hyperlink ref="AP91" r:id="rId29" xr:uid="{00000000-0004-0000-0000-00001C000000}"/>
    <hyperlink ref="AS91" r:id="rId30" xr:uid="{00000000-0004-0000-0000-00001D000000}"/>
    <hyperlink ref="AQ101" r:id="rId31" xr:uid="{00000000-0004-0000-0000-00001E000000}"/>
    <hyperlink ref="AQ100" r:id="rId32" xr:uid="{00000000-0004-0000-0000-00001F000000}"/>
    <hyperlink ref="AQ97" r:id="rId33" xr:uid="{00000000-0004-0000-0000-000020000000}"/>
    <hyperlink ref="AQ73" r:id="rId34" xr:uid="{00000000-0004-0000-0000-000021000000}"/>
    <hyperlink ref="AQ72" r:id="rId35" xr:uid="{00000000-0004-0000-0000-000022000000}"/>
    <hyperlink ref="AQ71" r:id="rId36" xr:uid="{00000000-0004-0000-0000-000023000000}"/>
    <hyperlink ref="AQ381" r:id="rId37" xr:uid="{00000000-0004-0000-0000-000024000000}"/>
    <hyperlink ref="AQ380" r:id="rId38" xr:uid="{00000000-0004-0000-0000-000025000000}"/>
    <hyperlink ref="AS210" r:id="rId39" xr:uid="{00000000-0004-0000-0000-000026000000}"/>
    <hyperlink ref="AS154" r:id="rId40" xr:uid="{00000000-0004-0000-0000-000027000000}"/>
    <hyperlink ref="AS153" r:id="rId41" xr:uid="{00000000-0004-0000-0000-000028000000}"/>
    <hyperlink ref="AS82" r:id="rId42" xr:uid="{00000000-0004-0000-0000-000029000000}"/>
    <hyperlink ref="AS81" r:id="rId43" xr:uid="{00000000-0004-0000-0000-00002A000000}"/>
    <hyperlink ref="AS80" r:id="rId44" xr:uid="{00000000-0004-0000-0000-00002C000000}"/>
    <hyperlink ref="AS72" r:id="rId45" xr:uid="{00000000-0004-0000-0000-00002D000000}"/>
    <hyperlink ref="AQ91" r:id="rId46" xr:uid="{00000000-0004-0000-0000-00002E000000}"/>
    <hyperlink ref="AP232" r:id="rId47" xr:uid="{00000000-0004-0000-0000-00002F000000}"/>
    <hyperlink ref="AD190" r:id="rId48" xr:uid="{00000000-0004-0000-0000-000031000000}"/>
    <hyperlink ref="AD191" r:id="rId49" xr:uid="{00000000-0004-0000-0000-000032000000}"/>
    <hyperlink ref="AD192" r:id="rId50" xr:uid="{00000000-0004-0000-0000-000033000000}"/>
    <hyperlink ref="AD193" r:id="rId51" xr:uid="{00000000-0004-0000-0000-000034000000}"/>
    <hyperlink ref="AD134" r:id="rId52" xr:uid="{00000000-0004-0000-0000-000035000000}"/>
    <hyperlink ref="AD148" r:id="rId53" xr:uid="{00000000-0004-0000-0000-000036000000}"/>
    <hyperlink ref="AD182" r:id="rId54" xr:uid="{00000000-0004-0000-0000-000037000000}"/>
    <hyperlink ref="AD183" r:id="rId55" xr:uid="{00000000-0004-0000-0000-000038000000}"/>
    <hyperlink ref="AD87" r:id="rId56" xr:uid="{00000000-0004-0000-0000-000039000000}"/>
    <hyperlink ref="AD198" r:id="rId57" xr:uid="{00000000-0004-0000-0000-00003A000000}"/>
    <hyperlink ref="AD199" r:id="rId58" xr:uid="{00000000-0004-0000-0000-00003B000000}"/>
    <hyperlink ref="AD200" r:id="rId59" xr:uid="{00000000-0004-0000-0000-00003C000000}"/>
    <hyperlink ref="AD123" r:id="rId60" xr:uid="{00000000-0004-0000-0000-00003D000000}"/>
    <hyperlink ref="AD71" r:id="rId61" xr:uid="{00000000-0004-0000-0000-00003E000000}"/>
    <hyperlink ref="AD299" r:id="rId62" xr:uid="{00000000-0004-0000-0000-00003F000000}"/>
    <hyperlink ref="AD301" r:id="rId63" xr:uid="{00000000-0004-0000-0000-000040000000}"/>
    <hyperlink ref="AD302" r:id="rId64" xr:uid="{00000000-0004-0000-0000-000041000000}"/>
    <hyperlink ref="AD307" r:id="rId65" xr:uid="{00000000-0004-0000-0000-000042000000}"/>
    <hyperlink ref="AD80" r:id="rId66" xr:uid="{00000000-0004-0000-0000-000043000000}"/>
    <hyperlink ref="AD81" r:id="rId67" xr:uid="{00000000-0004-0000-0000-000045000000}"/>
    <hyperlink ref="AD82" r:id="rId68" xr:uid="{00000000-0004-0000-0000-000046000000}"/>
    <hyperlink ref="AD270" r:id="rId69" xr:uid="{00000000-0004-0000-0000-000047000000}"/>
    <hyperlink ref="AD271" r:id="rId70" xr:uid="{00000000-0004-0000-0000-000048000000}"/>
    <hyperlink ref="AD272" r:id="rId71" xr:uid="{00000000-0004-0000-0000-000049000000}"/>
    <hyperlink ref="AD273" r:id="rId72" xr:uid="{00000000-0004-0000-0000-00004A000000}"/>
    <hyperlink ref="AD274" r:id="rId73" xr:uid="{00000000-0004-0000-0000-00004B000000}"/>
    <hyperlink ref="AD275" r:id="rId74" xr:uid="{00000000-0004-0000-0000-00004C000000}"/>
    <hyperlink ref="AD234" r:id="rId75" xr:uid="{00000000-0004-0000-0000-00004D000000}"/>
    <hyperlink ref="AD236" r:id="rId76" xr:uid="{00000000-0004-0000-0000-00004E000000}"/>
    <hyperlink ref="AD235" r:id="rId77" xr:uid="{00000000-0004-0000-0000-00004F000000}"/>
    <hyperlink ref="AD122" r:id="rId78" xr:uid="{00000000-0004-0000-0000-000050000000}"/>
    <hyperlink ref="AD155" r:id="rId79" xr:uid="{00000000-0004-0000-0000-000051000000}"/>
    <hyperlink ref="AD267" r:id="rId80" xr:uid="{00000000-0004-0000-0000-000052000000}"/>
    <hyperlink ref="AD268" r:id="rId81" xr:uid="{00000000-0004-0000-0000-000053000000}"/>
    <hyperlink ref="AD406" r:id="rId82" xr:uid="{00000000-0004-0000-0000-000054000000}"/>
    <hyperlink ref="AD407:AD408" r:id="rId83" display="https://disk.yandex.ru/d/NWO_itL6Z3v0zA" xr:uid="{00000000-0004-0000-0000-000055000000}"/>
    <hyperlink ref="AD409" r:id="rId84" xr:uid="{00000000-0004-0000-0000-000056000000}"/>
    <hyperlink ref="AD368" r:id="rId85" xr:uid="{00000000-0004-0000-0000-000057000000}"/>
    <hyperlink ref="AD369:AD373" r:id="rId86" display="https://disk.yandex.ru/d/SyZinNJfsoiQHw" xr:uid="{00000000-0004-0000-0000-000058000000}"/>
    <hyperlink ref="AD359:AD366" r:id="rId87" display="https://disk.yandex.ru/d/SyZinNJfsoiQHw" xr:uid="{00000000-0004-0000-0000-000059000000}"/>
    <hyperlink ref="AD341:AD357" r:id="rId88" display="https://disk.yandex.ru/d/SyZinNJfsoiQHw" xr:uid="{00000000-0004-0000-0000-00005A000000}"/>
    <hyperlink ref="AD526:AD542" r:id="rId89" display="https://disk.yandex.ru/d/SyZinNJfsoiQHw" xr:uid="{00000000-0004-0000-0000-00005B000000}"/>
    <hyperlink ref="AD544:AD545" r:id="rId90" display="https://disk.yandex.ru/d/SyZinNJfsoiQHw" xr:uid="{00000000-0004-0000-0000-00005C000000}"/>
    <hyperlink ref="AD117" r:id="rId91" xr:uid="{00000000-0004-0000-0000-00005D000000}"/>
    <hyperlink ref="AD133" r:id="rId92" xr:uid="{00000000-0004-0000-0000-00005E000000}"/>
    <hyperlink ref="AD161" r:id="rId93" xr:uid="{00000000-0004-0000-0000-00005F000000}"/>
    <hyperlink ref="AD167" r:id="rId94" xr:uid="{00000000-0004-0000-0000-000060000000}"/>
    <hyperlink ref="AD211" r:id="rId95" xr:uid="{00000000-0004-0000-0000-000061000000}"/>
    <hyperlink ref="AD216:AD219" r:id="rId96" display="https://disk.yandex.ru/d/SyZinNJfsoiQHw" xr:uid="{00000000-0004-0000-0000-000062000000}"/>
    <hyperlink ref="AD213:AD215" r:id="rId97" display="https://disk.yandex.ru/d/SyZinNJfsoiQHw" xr:uid="{00000000-0004-0000-0000-000063000000}"/>
    <hyperlink ref="AD335:AD339" r:id="rId98" display="https://disk.yandex.ru/d/SyZinNJfsoiQHw" xr:uid="{00000000-0004-0000-0000-000064000000}"/>
    <hyperlink ref="AD247" r:id="rId99" xr:uid="{00000000-0004-0000-0000-000065000000}"/>
    <hyperlink ref="AD109" r:id="rId100" xr:uid="{00000000-0004-0000-0000-000066000000}"/>
    <hyperlink ref="AD168" r:id="rId101" xr:uid="{00000000-0004-0000-0000-000067000000}"/>
    <hyperlink ref="AD91" r:id="rId102" xr:uid="{00000000-0004-0000-0000-000068000000}"/>
    <hyperlink ref="AQ431" r:id="rId103" xr:uid="{00000000-0004-0000-0000-000069000000}"/>
    <hyperlink ref="AQ433" r:id="rId104" xr:uid="{00000000-0004-0000-0000-00006A000000}"/>
    <hyperlink ref="AQ430" r:id="rId105" xr:uid="{00000000-0004-0000-0000-00006B000000}"/>
    <hyperlink ref="AQ432" r:id="rId106" xr:uid="{00000000-0004-0000-0000-00006C000000}"/>
    <hyperlink ref="AP58" r:id="rId107" xr:uid="{00000000-0004-0000-0000-00006D000000}"/>
    <hyperlink ref="AS58" r:id="rId108" xr:uid="{00000000-0004-0000-0000-00006E000000}"/>
    <hyperlink ref="AD72" r:id="rId109" xr:uid="{00000000-0004-0000-0000-00006F000000}"/>
    <hyperlink ref="AD73" r:id="rId110" xr:uid="{00000000-0004-0000-0000-000070000000}"/>
    <hyperlink ref="AD181" r:id="rId111" xr:uid="{00000000-0004-0000-0000-000071000000}"/>
    <hyperlink ref="AD194" r:id="rId112" xr:uid="{00000000-0004-0000-0000-000072000000}"/>
    <hyperlink ref="AD75" r:id="rId113" xr:uid="{00000000-0004-0000-0000-000074000000}"/>
    <hyperlink ref="AD76" r:id="rId114" xr:uid="{00000000-0004-0000-0000-000075000000}"/>
    <hyperlink ref="AD77" r:id="rId115" xr:uid="{00000000-0004-0000-0000-000076000000}"/>
    <hyperlink ref="AD78" r:id="rId116" xr:uid="{00000000-0004-0000-0000-000077000000}"/>
    <hyperlink ref="AD184" r:id="rId117" xr:uid="{00000000-0004-0000-0000-000078000000}"/>
    <hyperlink ref="AD156" r:id="rId118" xr:uid="{00000000-0004-0000-0000-000079000000}"/>
    <hyperlink ref="AD58" r:id="rId119" xr:uid="{00000000-0004-0000-0000-00007B000000}"/>
    <hyperlink ref="AD376" r:id="rId120" xr:uid="{00000000-0004-0000-0000-00007C000000}"/>
    <hyperlink ref="AD375" r:id="rId121" xr:uid="{00000000-0004-0000-0000-00007D000000}"/>
    <hyperlink ref="AD377" r:id="rId122" xr:uid="{00000000-0004-0000-0000-00007E000000}"/>
    <hyperlink ref="AD378" r:id="rId123" xr:uid="{00000000-0004-0000-0000-00007F000000}"/>
    <hyperlink ref="AD379" r:id="rId124" xr:uid="{00000000-0004-0000-0000-000080000000}"/>
    <hyperlink ref="AD196" r:id="rId125" xr:uid="{00000000-0004-0000-0000-000081000000}"/>
    <hyperlink ref="AD162" r:id="rId126" xr:uid="{00000000-0004-0000-0000-000082000000}"/>
    <hyperlink ref="AD84" r:id="rId127" xr:uid="{00000000-0004-0000-0000-000083000000}"/>
    <hyperlink ref="AD85" r:id="rId128" xr:uid="{00000000-0004-0000-0000-000084000000}"/>
    <hyperlink ref="AD423" r:id="rId129" xr:uid="{00000000-0004-0000-0000-000085000000}"/>
    <hyperlink ref="AD424" r:id="rId130" xr:uid="{00000000-0004-0000-0000-000086000000}"/>
    <hyperlink ref="AD425" r:id="rId131" xr:uid="{00000000-0004-0000-0000-000087000000}"/>
    <hyperlink ref="AD394" r:id="rId132" xr:uid="{00000000-0004-0000-0000-000089000000}"/>
    <hyperlink ref="AD395" r:id="rId133" xr:uid="{00000000-0004-0000-0000-00008A000000}"/>
    <hyperlink ref="AD396" r:id="rId134" xr:uid="{00000000-0004-0000-0000-00008B000000}"/>
    <hyperlink ref="AD281" r:id="rId135" xr:uid="{00000000-0004-0000-0000-00008C000000}"/>
    <hyperlink ref="AD282" r:id="rId136" xr:uid="{00000000-0004-0000-0000-00008D000000}"/>
    <hyperlink ref="AD283" r:id="rId137" xr:uid="{00000000-0004-0000-0000-00008E000000}"/>
    <hyperlink ref="AD298" r:id="rId138" xr:uid="{00000000-0004-0000-0000-00008F000000}"/>
    <hyperlink ref="AD300" r:id="rId139" xr:uid="{00000000-0004-0000-0000-000090000000}"/>
    <hyperlink ref="AD303" r:id="rId140" xr:uid="{00000000-0004-0000-0000-000091000000}"/>
    <hyperlink ref="AD285" r:id="rId141" xr:uid="{00000000-0004-0000-0000-000092000000}"/>
    <hyperlink ref="AD407" r:id="rId142" xr:uid="{00000000-0004-0000-0000-000093000000}"/>
    <hyperlink ref="AD68" r:id="rId143" xr:uid="{00000000-0004-0000-0000-000094000000}"/>
    <hyperlink ref="AD69" r:id="rId144" xr:uid="{00000000-0004-0000-0000-000095000000}"/>
    <hyperlink ref="AP68" r:id="rId145" xr:uid="{00000000-0004-0000-0000-000096000000}"/>
    <hyperlink ref="AQ68" r:id="rId146" xr:uid="{00000000-0004-0000-0000-000097000000}"/>
    <hyperlink ref="AS68" r:id="rId147" xr:uid="{00000000-0004-0000-0000-000098000000}"/>
    <hyperlink ref="AP69" r:id="rId148" xr:uid="{00000000-0004-0000-0000-000099000000}"/>
    <hyperlink ref="AD92" r:id="rId149" xr:uid="{00000000-0004-0000-0000-00009A000000}"/>
    <hyperlink ref="AD98" r:id="rId150" xr:uid="{00000000-0004-0000-0000-00009B000000}"/>
    <hyperlink ref="AP98" r:id="rId151" xr:uid="{00000000-0004-0000-0000-00009C000000}"/>
    <hyperlink ref="AD226" r:id="rId152" xr:uid="{00000000-0004-0000-0000-00009D000000}"/>
    <hyperlink ref="AD290" r:id="rId153" xr:uid="{00000000-0004-0000-0000-00009E000000}"/>
    <hyperlink ref="AD296" r:id="rId154" xr:uid="{00000000-0004-0000-0000-00009F000000}"/>
    <hyperlink ref="AD309" r:id="rId155" xr:uid="{00000000-0004-0000-0000-0000A0000000}"/>
    <hyperlink ref="AD310" r:id="rId156" xr:uid="{00000000-0004-0000-0000-0000A1000000}"/>
    <hyperlink ref="AD311" r:id="rId157" xr:uid="{00000000-0004-0000-0000-0000A2000000}"/>
    <hyperlink ref="AD312" r:id="rId158" xr:uid="{00000000-0004-0000-0000-0000A3000000}"/>
    <hyperlink ref="AD313" r:id="rId159" xr:uid="{00000000-0004-0000-0000-0000A4000000}"/>
    <hyperlink ref="AD314" r:id="rId160" xr:uid="{00000000-0004-0000-0000-0000A5000000}"/>
    <hyperlink ref="AD315" r:id="rId161" xr:uid="{00000000-0004-0000-0000-0000A6000000}"/>
    <hyperlink ref="AD30" r:id="rId162" xr:uid="{00000000-0004-0000-0000-0000A7000000}"/>
    <hyperlink ref="AD26" r:id="rId163" xr:uid="{00000000-0004-0000-0000-0000A8000000}"/>
    <hyperlink ref="AD39" r:id="rId164" xr:uid="{00000000-0004-0000-0000-0000A9000000}"/>
    <hyperlink ref="AD40" r:id="rId165" xr:uid="{00000000-0004-0000-0000-0000AA000000}"/>
    <hyperlink ref="AD41" r:id="rId166" xr:uid="{00000000-0004-0000-0000-0000AB000000}"/>
    <hyperlink ref="AD43" r:id="rId167" xr:uid="{00000000-0004-0000-0000-0000AC000000}"/>
    <hyperlink ref="AD42" r:id="rId168" xr:uid="{00000000-0004-0000-0000-0000AD000000}"/>
    <hyperlink ref="AD47" r:id="rId169" xr:uid="{00000000-0004-0000-0000-0000AE000000}"/>
    <hyperlink ref="AD44" r:id="rId170" xr:uid="{00000000-0004-0000-0000-0000AF000000}"/>
    <hyperlink ref="AD45" r:id="rId171" xr:uid="{00000000-0004-0000-0000-0000B0000000}"/>
    <hyperlink ref="AD46" r:id="rId172" xr:uid="{00000000-0004-0000-0000-0000B1000000}"/>
    <hyperlink ref="AD381" r:id="rId173" xr:uid="{00000000-0004-0000-0000-0000B2000000}"/>
    <hyperlink ref="AD27" r:id="rId174" xr:uid="{00000000-0004-0000-0000-0000B3000000}"/>
    <hyperlink ref="AD22" r:id="rId175" xr:uid="{00000000-0004-0000-0000-0000B4000000}"/>
    <hyperlink ref="AD23" r:id="rId176" xr:uid="{00000000-0004-0000-0000-0000B5000000}"/>
    <hyperlink ref="AD24" r:id="rId177" xr:uid="{00000000-0004-0000-0000-0000B6000000}"/>
    <hyperlink ref="AD21" r:id="rId178" xr:uid="{00000000-0004-0000-0000-0000B7000000}"/>
    <hyperlink ref="AD19" r:id="rId179" xr:uid="{00000000-0004-0000-0000-0000B8000000}"/>
    <hyperlink ref="AD25" r:id="rId180" xr:uid="{00000000-0004-0000-0000-0000B9000000}"/>
    <hyperlink ref="AD20" r:id="rId181" xr:uid="{00000000-0004-0000-0000-0000BA000000}"/>
    <hyperlink ref="AD35" r:id="rId182" xr:uid="{00000000-0004-0000-0000-0000BB000000}"/>
    <hyperlink ref="AD36" r:id="rId183" xr:uid="{00000000-0004-0000-0000-0000BC000000}"/>
    <hyperlink ref="AD37" r:id="rId184" xr:uid="{00000000-0004-0000-0000-0000BD000000}"/>
    <hyperlink ref="AD38" r:id="rId185" xr:uid="{00000000-0004-0000-0000-0000BE000000}"/>
    <hyperlink ref="AD237" r:id="rId186" xr:uid="{00000000-0004-0000-0000-0000BF000000}"/>
    <hyperlink ref="AD238" r:id="rId187" xr:uid="{00000000-0004-0000-0000-0000C0000000}"/>
    <hyperlink ref="AD239" r:id="rId188" xr:uid="{00000000-0004-0000-0000-0000C1000000}"/>
    <hyperlink ref="AD29" r:id="rId189" xr:uid="{00000000-0004-0000-0000-0000C2000000}"/>
    <hyperlink ref="AD33" r:id="rId190" xr:uid="{00000000-0004-0000-0000-0000C3000000}"/>
    <hyperlink ref="AD34" r:id="rId191" xr:uid="{00000000-0004-0000-0000-0000C4000000}"/>
    <hyperlink ref="AD32" r:id="rId192" xr:uid="{00000000-0004-0000-0000-0000C5000000}"/>
    <hyperlink ref="AD361" r:id="rId193" xr:uid="{F4B42178-3152-471F-8A46-0EE2A5DE50C2}"/>
    <hyperlink ref="AD364" r:id="rId194" xr:uid="{F0CD8369-9453-4D07-B4EC-6C5C855CEE50}"/>
    <hyperlink ref="AD366" r:id="rId195" xr:uid="{088D2814-F53D-498A-84B8-B48B9FE9129C}"/>
    <hyperlink ref="AD121" r:id="rId196" xr:uid="{1139487A-EBB6-4448-8D5B-3E409D386612}"/>
    <hyperlink ref="AD390" r:id="rId197" xr:uid="{2AB067C6-D2DE-4AEC-B147-58BB1AD22D23}"/>
    <hyperlink ref="AD99" r:id="rId198" xr:uid="{7968CB7F-A789-41B9-B108-D4D72A51BBA2}"/>
  </hyperlinks>
  <pageMargins left="0.15748031496062992" right="0.15748031496062992" top="0.39370078740157483" bottom="0.39370078740157483" header="0" footer="0"/>
  <pageSetup paperSize="9" scale="95" firstPageNumber="0" orientation="portrait" horizontalDpi="300" verticalDpi="300" r:id="rId199"/>
  <headerFooter alignWithMargins="0"/>
  <drawing r:id="rId200"/>
  <legacyDrawing r:id="rId20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3:D38"/>
  <sheetViews>
    <sheetView zoomScale="80" zoomScaleNormal="80" workbookViewId="0">
      <selection activeCell="B36" sqref="B36"/>
    </sheetView>
  </sheetViews>
  <sheetFormatPr defaultColWidth="9.140625" defaultRowHeight="12.75"/>
  <cols>
    <col min="1" max="1" width="3.7109375" customWidth="1"/>
    <col min="2" max="2" width="37.140625" customWidth="1"/>
    <col min="3" max="3" width="46.140625" customWidth="1"/>
    <col min="4" max="4" width="44.5703125" customWidth="1"/>
    <col min="5" max="5" width="104.5703125" customWidth="1"/>
  </cols>
  <sheetData>
    <row r="3" spans="2:4">
      <c r="B3" t="s">
        <v>2505</v>
      </c>
      <c r="C3" s="95" t="s">
        <v>2506</v>
      </c>
      <c r="D3" s="241"/>
    </row>
    <row r="4" spans="2:4" ht="25.5">
      <c r="B4" s="96" t="s">
        <v>2507</v>
      </c>
    </row>
    <row r="5" spans="2:4">
      <c r="B5" t="s">
        <v>2508</v>
      </c>
      <c r="C5" s="95" t="s">
        <v>2509</v>
      </c>
    </row>
    <row r="6" spans="2:4">
      <c r="C6" s="95"/>
    </row>
    <row r="7" spans="2:4">
      <c r="B7" t="s">
        <v>2510</v>
      </c>
      <c r="C7" s="236" t="s">
        <v>2511</v>
      </c>
      <c r="D7" s="241"/>
    </row>
    <row r="8" spans="2:4">
      <c r="B8" t="s">
        <v>2512</v>
      </c>
      <c r="C8" s="241" t="s">
        <v>2513</v>
      </c>
    </row>
    <row r="9" spans="2:4">
      <c r="B9" t="s">
        <v>2514</v>
      </c>
      <c r="C9" s="241" t="s">
        <v>2515</v>
      </c>
    </row>
    <row r="10" spans="2:4">
      <c r="B10" t="s">
        <v>2516</v>
      </c>
      <c r="C10" s="241" t="s">
        <v>2517</v>
      </c>
    </row>
    <row r="12" spans="2:4">
      <c r="B12" t="s">
        <v>2518</v>
      </c>
      <c r="C12" s="236" t="s">
        <v>2519</v>
      </c>
    </row>
    <row r="14" spans="2:4">
      <c r="B14" t="s">
        <v>2520</v>
      </c>
      <c r="C14" s="95" t="s">
        <v>2521</v>
      </c>
      <c r="D14" s="241"/>
    </row>
    <row r="16" spans="2:4">
      <c r="B16" t="s">
        <v>2522</v>
      </c>
      <c r="C16" s="95" t="s">
        <v>2523</v>
      </c>
    </row>
    <row r="18" spans="2:4">
      <c r="B18" t="s">
        <v>2524</v>
      </c>
      <c r="C18" s="95" t="s">
        <v>2525</v>
      </c>
    </row>
    <row r="19" spans="2:4">
      <c r="B19" t="s">
        <v>2526</v>
      </c>
      <c r="C19" s="241" t="s">
        <v>2527</v>
      </c>
    </row>
    <row r="20" spans="2:4">
      <c r="C20" s="241"/>
    </row>
    <row r="21" spans="2:4">
      <c r="B21" s="97" t="s">
        <v>2528</v>
      </c>
      <c r="C21" s="241" t="s">
        <v>2529</v>
      </c>
    </row>
    <row r="22" spans="2:4">
      <c r="B22" s="97"/>
      <c r="C22" s="241"/>
    </row>
    <row r="23" spans="2:4">
      <c r="B23" t="s">
        <v>2530</v>
      </c>
      <c r="C23" s="98" t="s">
        <v>263</v>
      </c>
    </row>
    <row r="24" spans="2:4">
      <c r="B24" t="s">
        <v>2531</v>
      </c>
      <c r="C24" s="98" t="s">
        <v>831</v>
      </c>
    </row>
    <row r="25" spans="2:4">
      <c r="B25" t="s">
        <v>2532</v>
      </c>
      <c r="C25" s="98" t="s">
        <v>2533</v>
      </c>
    </row>
    <row r="26" spans="2:4">
      <c r="B26" t="s">
        <v>2534</v>
      </c>
      <c r="C26" s="98" t="s">
        <v>2535</v>
      </c>
    </row>
    <row r="27" spans="2:4">
      <c r="B27" t="s">
        <v>2536</v>
      </c>
      <c r="C27" s="98" t="s">
        <v>2537</v>
      </c>
    </row>
    <row r="28" spans="2:4">
      <c r="B28" t="s">
        <v>2538</v>
      </c>
      <c r="C28" s="98" t="s">
        <v>2539</v>
      </c>
    </row>
    <row r="29" spans="2:4" ht="25.5">
      <c r="B29" s="14" t="s">
        <v>2540</v>
      </c>
      <c r="C29" s="95" t="s">
        <v>2541</v>
      </c>
    </row>
    <row r="30" spans="2:4">
      <c r="B30" t="s">
        <v>2542</v>
      </c>
      <c r="C30" s="95" t="s">
        <v>2543</v>
      </c>
    </row>
    <row r="31" spans="2:4">
      <c r="D31" s="241"/>
    </row>
    <row r="32" spans="2:4">
      <c r="B32" t="s">
        <v>2544</v>
      </c>
      <c r="C32" s="98" t="s">
        <v>2545</v>
      </c>
    </row>
    <row r="33" spans="2:3">
      <c r="C33" s="98" t="s">
        <v>2546</v>
      </c>
    </row>
    <row r="36" spans="2:3">
      <c r="B36" t="s">
        <v>2526</v>
      </c>
      <c r="C36" s="241" t="s">
        <v>2527</v>
      </c>
    </row>
    <row r="38" spans="2:3">
      <c r="B38" t="s">
        <v>2547</v>
      </c>
      <c r="C38" s="241" t="s">
        <v>2548</v>
      </c>
    </row>
  </sheetData>
  <sheetProtection selectLockedCells="1" selectUnlockedCells="1"/>
  <hyperlinks>
    <hyperlink ref="C3" r:id="rId1" xr:uid="{00000000-0004-0000-0200-000000000000}"/>
    <hyperlink ref="C5" r:id="rId2" xr:uid="{00000000-0004-0000-0200-000001000000}"/>
    <hyperlink ref="C16" r:id="rId3" xr:uid="{00000000-0004-0000-0200-000002000000}"/>
    <hyperlink ref="C18" r:id="rId4" xr:uid="{00000000-0004-0000-0200-000003000000}"/>
    <hyperlink ref="C23" r:id="rId5" xr:uid="{00000000-0004-0000-0200-000004000000}"/>
    <hyperlink ref="C24" r:id="rId6" xr:uid="{00000000-0004-0000-0200-000005000000}"/>
    <hyperlink ref="C25" r:id="rId7" xr:uid="{00000000-0004-0000-0200-000006000000}"/>
    <hyperlink ref="C26" r:id="rId8" xr:uid="{00000000-0004-0000-0200-000007000000}"/>
    <hyperlink ref="C27" r:id="rId9" xr:uid="{00000000-0004-0000-0200-000008000000}"/>
    <hyperlink ref="C28" r:id="rId10" xr:uid="{00000000-0004-0000-0200-000009000000}"/>
    <hyperlink ref="C29" r:id="rId11" xr:uid="{00000000-0004-0000-0200-00000A000000}"/>
    <hyperlink ref="C30" r:id="rId12" xr:uid="{00000000-0004-0000-0200-00000B000000}"/>
    <hyperlink ref="C32" r:id="rId13" xr:uid="{00000000-0004-0000-0200-00000C000000}"/>
    <hyperlink ref="C33" r:id="rId14" xr:uid="{00000000-0004-0000-0200-00000D000000}"/>
    <hyperlink ref="C12" r:id="rId15" xr:uid="{00000000-0004-0000-0200-00000E000000}"/>
    <hyperlink ref="C36" r:id="rId16" xr:uid="{00000000-0004-0000-0200-00000F000000}"/>
    <hyperlink ref="C14" r:id="rId17" xr:uid="{00000000-0004-0000-0200-000010000000}"/>
    <hyperlink ref="C9" r:id="rId18" xr:uid="{00000000-0004-0000-0200-000011000000}"/>
    <hyperlink ref="C19" r:id="rId19" xr:uid="{00000000-0004-0000-0200-000012000000}"/>
    <hyperlink ref="C10" r:id="rId20" xr:uid="{00000000-0004-0000-0200-000013000000}"/>
    <hyperlink ref="C8" r:id="rId21" xr:uid="{00000000-0004-0000-0200-000014000000}"/>
    <hyperlink ref="C7" r:id="rId22" xr:uid="{00000000-0004-0000-0200-000015000000}"/>
    <hyperlink ref="C21" r:id="rId23" xr:uid="{00000000-0004-0000-0200-000016000000}"/>
    <hyperlink ref="C38" r:id="rId24" xr:uid="{00000000-0004-0000-0200-000017000000}"/>
  </hyperlinks>
  <pageMargins left="0.7" right="0.7" top="0.75" bottom="0.75" header="0.51180555555555551" footer="0.51180555555555551"/>
  <pageSetup paperSize="9" firstPageNumber="0" orientation="portrait" horizontalDpi="300" verticalDpi="300" r:id="rId25"/>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46"/>
  </sheetPr>
  <dimension ref="A1:V259"/>
  <sheetViews>
    <sheetView topLeftCell="C24" zoomScale="80" zoomScaleNormal="80" workbookViewId="0">
      <selection activeCell="AA14" sqref="AA14"/>
    </sheetView>
  </sheetViews>
  <sheetFormatPr defaultColWidth="9.140625" defaultRowHeight="12.75"/>
  <cols>
    <col min="1" max="1" width="10.7109375" style="64" hidden="1" customWidth="1"/>
    <col min="2" max="2" width="9" style="202" hidden="1" customWidth="1"/>
    <col min="3" max="3" width="6.42578125" style="5" customWidth="1"/>
    <col min="4" max="4" width="69.7109375" style="5" customWidth="1"/>
    <col min="5" max="5" width="3.7109375" style="5" hidden="1" customWidth="1"/>
    <col min="6" max="6" width="8" style="3" customWidth="1"/>
    <col min="7" max="7" width="6" style="5" customWidth="1"/>
    <col min="8" max="8" width="6.42578125" style="4" customWidth="1"/>
    <col min="9" max="9" width="7.140625" style="21" customWidth="1"/>
    <col min="10" max="10" width="7.28515625" style="5" customWidth="1"/>
    <col min="11" max="11" width="7.140625" style="5" customWidth="1"/>
    <col min="12" max="12" width="6.140625" style="5" customWidth="1"/>
    <col min="13" max="14" width="6.28515625" style="5" customWidth="1"/>
    <col min="15" max="15" width="6.7109375" style="5" customWidth="1"/>
    <col min="16" max="16" width="0.42578125" style="5" hidden="1" customWidth="1"/>
    <col min="17" max="17" width="9.140625" style="5" hidden="1" customWidth="1"/>
    <col min="18" max="18" width="0.140625" style="5" hidden="1" customWidth="1"/>
    <col min="19" max="19" width="10" style="5" hidden="1" customWidth="1"/>
    <col min="20" max="20" width="11.28515625" style="5" hidden="1" customWidth="1"/>
    <col min="21" max="21" width="11.5703125" style="5" hidden="1" customWidth="1"/>
    <col min="22" max="22" width="8.140625" style="235" customWidth="1"/>
    <col min="23" max="16384" width="9.140625" style="5"/>
  </cols>
  <sheetData>
    <row r="1" spans="1:22" ht="50.25" hidden="1" customHeight="1"/>
    <row r="2" spans="1:22" ht="34.5" hidden="1" customHeight="1"/>
    <row r="3" spans="1:22" s="10" customFormat="1" ht="47.25" customHeight="1" thickBot="1">
      <c r="A3" s="1112"/>
      <c r="B3" s="202"/>
      <c r="C3" s="1086" t="s">
        <v>2549</v>
      </c>
      <c r="D3" s="1086"/>
      <c r="E3" s="1086"/>
      <c r="F3" s="1086"/>
      <c r="G3" s="1086"/>
      <c r="H3" s="1086"/>
      <c r="I3" s="1086"/>
      <c r="J3" s="1087" t="s">
        <v>2550</v>
      </c>
      <c r="K3" s="1087"/>
      <c r="L3" s="1087"/>
      <c r="M3" s="1087"/>
      <c r="N3" s="1087"/>
      <c r="O3" s="1087"/>
      <c r="P3" s="12"/>
      <c r="Q3" s="45"/>
      <c r="R3" s="12"/>
      <c r="S3" s="45"/>
      <c r="T3" s="47"/>
      <c r="U3" s="46"/>
      <c r="V3" s="235"/>
    </row>
    <row r="4" spans="1:22" s="51" customFormat="1" ht="17.25" hidden="1" customHeight="1">
      <c r="A4" s="1112"/>
      <c r="B4" s="202"/>
      <c r="C4" s="1088" t="s">
        <v>2551</v>
      </c>
      <c r="D4" s="1088"/>
      <c r="E4" s="1088"/>
      <c r="F4" s="1088"/>
      <c r="G4" s="1088"/>
      <c r="H4" s="1088"/>
      <c r="I4" s="1088"/>
      <c r="J4" s="1087"/>
      <c r="K4" s="1087"/>
      <c r="L4" s="1087"/>
      <c r="M4" s="1087"/>
      <c r="N4" s="1087"/>
      <c r="O4" s="1087"/>
      <c r="P4" s="48"/>
      <c r="Q4" s="49"/>
      <c r="R4" s="48"/>
      <c r="S4" s="49"/>
      <c r="T4" s="52"/>
      <c r="U4" s="50"/>
      <c r="V4" s="235"/>
    </row>
    <row r="5" spans="1:22" ht="22.15" customHeight="1" thickBot="1">
      <c r="A5" s="1112"/>
      <c r="C5" s="1089" t="s">
        <v>6</v>
      </c>
      <c r="D5" s="1089"/>
      <c r="E5" s="53"/>
      <c r="F5" s="1090"/>
      <c r="G5" s="1090"/>
      <c r="H5" s="1090"/>
      <c r="I5" s="1090"/>
      <c r="J5" s="1087"/>
      <c r="K5" s="1087"/>
      <c r="L5" s="1087"/>
      <c r="M5" s="1087"/>
      <c r="N5" s="1087"/>
      <c r="O5" s="1087"/>
      <c r="P5" s="9"/>
      <c r="Q5" s="43"/>
      <c r="R5" s="9"/>
      <c r="S5" s="43"/>
      <c r="T5" s="8"/>
      <c r="U5" s="44"/>
    </row>
    <row r="6" spans="1:22" ht="19.899999999999999" customHeight="1" thickBot="1">
      <c r="A6" s="1112"/>
      <c r="B6" s="203"/>
      <c r="C6" s="1091" t="s">
        <v>2552</v>
      </c>
      <c r="D6" s="1091"/>
      <c r="E6" s="54"/>
      <c r="F6" s="1092"/>
      <c r="G6" s="1092"/>
      <c r="H6" s="1092"/>
      <c r="I6" s="1092"/>
      <c r="J6" s="1087"/>
      <c r="K6" s="1087"/>
      <c r="L6" s="1087"/>
      <c r="M6" s="1087"/>
      <c r="N6" s="1087"/>
      <c r="O6" s="1087"/>
      <c r="P6" s="9"/>
      <c r="Q6" s="43"/>
      <c r="R6" s="9"/>
      <c r="S6" s="43"/>
      <c r="T6" s="8"/>
      <c r="U6" s="44"/>
    </row>
    <row r="7" spans="1:22" ht="16.899999999999999" customHeight="1" thickBot="1">
      <c r="A7" s="1112"/>
      <c r="B7" s="203"/>
      <c r="C7" s="1091" t="s">
        <v>8</v>
      </c>
      <c r="D7" s="1091"/>
      <c r="E7" s="55"/>
      <c r="F7" s="1093"/>
      <c r="G7" s="1093"/>
      <c r="H7" s="1093"/>
      <c r="I7" s="1093"/>
      <c r="J7" s="1087"/>
      <c r="K7" s="1087"/>
      <c r="L7" s="1087"/>
      <c r="M7" s="1087"/>
      <c r="N7" s="1087"/>
      <c r="O7" s="1087"/>
      <c r="P7" s="9"/>
      <c r="Q7" s="43"/>
      <c r="R7" s="9"/>
      <c r="S7" s="43"/>
      <c r="T7" s="8"/>
      <c r="U7" s="44"/>
    </row>
    <row r="8" spans="1:22" ht="16.899999999999999" customHeight="1" thickBot="1">
      <c r="A8" s="1112"/>
      <c r="B8" s="203"/>
      <c r="C8" s="1091" t="s">
        <v>9</v>
      </c>
      <c r="D8" s="1091"/>
      <c r="E8" s="55"/>
      <c r="F8" s="1093"/>
      <c r="G8" s="1093"/>
      <c r="H8" s="1093"/>
      <c r="I8" s="1093"/>
      <c r="J8" s="1087"/>
      <c r="K8" s="1087"/>
      <c r="L8" s="1087"/>
      <c r="M8" s="1087"/>
      <c r="N8" s="1087"/>
      <c r="O8" s="1087"/>
      <c r="P8" s="9"/>
      <c r="Q8" s="43"/>
      <c r="R8" s="9"/>
      <c r="S8" s="43"/>
      <c r="T8" s="8"/>
      <c r="U8" s="44"/>
    </row>
    <row r="9" spans="1:22" ht="23.45" customHeight="1" thickBot="1">
      <c r="A9" s="1112"/>
      <c r="B9" s="203"/>
      <c r="C9" s="1094" t="s">
        <v>2553</v>
      </c>
      <c r="D9" s="1094"/>
      <c r="E9" s="55"/>
      <c r="F9" s="1093"/>
      <c r="G9" s="1093"/>
      <c r="H9" s="1093"/>
      <c r="I9" s="1093"/>
      <c r="J9" s="1087"/>
      <c r="K9" s="1087"/>
      <c r="L9" s="1087"/>
      <c r="M9" s="1087"/>
      <c r="N9" s="1087"/>
      <c r="O9" s="1087"/>
      <c r="P9" s="9"/>
      <c r="Q9" s="43"/>
      <c r="R9" s="9"/>
      <c r="S9" s="43"/>
      <c r="T9" s="8"/>
      <c r="U9" s="44"/>
    </row>
    <row r="10" spans="1:22" ht="16.899999999999999" customHeight="1" thickBot="1">
      <c r="A10" s="1112"/>
      <c r="B10" s="203"/>
      <c r="C10" s="1091" t="s">
        <v>2554</v>
      </c>
      <c r="D10" s="1091"/>
      <c r="E10" s="55"/>
      <c r="F10" s="1093"/>
      <c r="G10" s="1093"/>
      <c r="H10" s="1093"/>
      <c r="I10" s="1093"/>
      <c r="J10" s="1087"/>
      <c r="K10" s="1087"/>
      <c r="L10" s="1087"/>
      <c r="M10" s="1087"/>
      <c r="N10" s="1087"/>
      <c r="O10" s="1087"/>
      <c r="P10" s="9"/>
      <c r="Q10" s="43"/>
      <c r="R10" s="9"/>
      <c r="S10" s="43"/>
      <c r="T10" s="8"/>
      <c r="U10" s="44"/>
    </row>
    <row r="11" spans="1:22" ht="16.899999999999999" customHeight="1" thickBot="1">
      <c r="A11" s="1112"/>
      <c r="B11" s="203"/>
      <c r="C11" s="1091" t="s">
        <v>2555</v>
      </c>
      <c r="D11" s="1091"/>
      <c r="E11" s="55"/>
      <c r="F11" s="1093"/>
      <c r="G11" s="1093"/>
      <c r="H11" s="1093"/>
      <c r="I11" s="1093"/>
      <c r="J11" s="1087"/>
      <c r="K11" s="1087"/>
      <c r="L11" s="1087"/>
      <c r="M11" s="1087"/>
      <c r="N11" s="1087"/>
      <c r="O11" s="1087"/>
      <c r="P11" s="9"/>
      <c r="Q11" s="43"/>
      <c r="R11" s="9"/>
      <c r="S11" s="43"/>
      <c r="T11" s="8"/>
      <c r="U11" s="44"/>
    </row>
    <row r="12" spans="1:22" ht="21" customHeight="1" thickBot="1">
      <c r="A12" s="1112"/>
      <c r="B12" s="203"/>
      <c r="C12" s="1099" t="s">
        <v>12</v>
      </c>
      <c r="D12" s="1099"/>
      <c r="E12" s="56"/>
      <c r="F12" s="1100"/>
      <c r="G12" s="1100"/>
      <c r="H12" s="1100"/>
      <c r="I12" s="1100"/>
      <c r="J12" s="1087"/>
      <c r="K12" s="1087"/>
      <c r="L12" s="1087"/>
      <c r="M12" s="1087"/>
      <c r="N12" s="1087"/>
      <c r="O12" s="1087"/>
      <c r="P12" s="9"/>
      <c r="Q12" s="43"/>
      <c r="R12" s="9"/>
      <c r="S12" s="43"/>
      <c r="T12" s="8"/>
      <c r="U12" s="44"/>
    </row>
    <row r="13" spans="1:22" s="41" customFormat="1" ht="21.6" customHeight="1">
      <c r="A13" s="1101" t="s">
        <v>2556</v>
      </c>
      <c r="B13" s="204"/>
      <c r="C13" s="1102" t="s">
        <v>2557</v>
      </c>
      <c r="D13" s="1103" t="s">
        <v>15</v>
      </c>
      <c r="E13" s="1104"/>
      <c r="F13" s="1104" t="s">
        <v>16</v>
      </c>
      <c r="G13" s="1096" t="s">
        <v>17</v>
      </c>
      <c r="H13" s="1098" t="s">
        <v>2558</v>
      </c>
      <c r="I13" s="1098"/>
      <c r="J13" s="1095" t="s">
        <v>2559</v>
      </c>
      <c r="K13" s="1095"/>
      <c r="L13" s="1095" t="s">
        <v>21</v>
      </c>
      <c r="M13" s="1095"/>
      <c r="N13" s="1095" t="s">
        <v>22</v>
      </c>
      <c r="O13" s="1095"/>
      <c r="P13" s="1095"/>
      <c r="Q13" s="1095"/>
      <c r="R13" s="1106"/>
      <c r="S13" s="1106"/>
      <c r="T13" s="1107" t="s">
        <v>24</v>
      </c>
      <c r="U13" s="1107"/>
      <c r="V13" s="1108" t="s">
        <v>25</v>
      </c>
    </row>
    <row r="14" spans="1:22" s="3" customFormat="1" ht="28.5" customHeight="1">
      <c r="A14" s="1101"/>
      <c r="B14" s="204"/>
      <c r="C14" s="1102"/>
      <c r="D14" s="1103"/>
      <c r="E14" s="1104"/>
      <c r="F14" s="1105"/>
      <c r="G14" s="1097"/>
      <c r="H14" s="155" t="s">
        <v>53</v>
      </c>
      <c r="I14" s="156" t="s">
        <v>54</v>
      </c>
      <c r="J14" s="157"/>
      <c r="K14" s="156" t="s">
        <v>54</v>
      </c>
      <c r="L14" s="157"/>
      <c r="M14" s="156" t="s">
        <v>54</v>
      </c>
      <c r="N14" s="157"/>
      <c r="O14" s="156" t="s">
        <v>54</v>
      </c>
      <c r="P14" s="157">
        <v>0.2</v>
      </c>
      <c r="Q14" s="156" t="s">
        <v>54</v>
      </c>
      <c r="R14" s="158" t="s">
        <v>23</v>
      </c>
      <c r="S14" s="15" t="s">
        <v>54</v>
      </c>
      <c r="T14" s="159" t="s">
        <v>2560</v>
      </c>
      <c r="U14" s="160" t="s">
        <v>57</v>
      </c>
      <c r="V14" s="1109"/>
    </row>
    <row r="15" spans="1:22" s="41" customFormat="1" ht="22.9" customHeight="1">
      <c r="A15" s="257"/>
      <c r="B15" s="205"/>
      <c r="C15" s="132">
        <v>2005</v>
      </c>
      <c r="D15" s="57" t="s">
        <v>2561</v>
      </c>
      <c r="E15" s="134"/>
      <c r="F15" s="161"/>
      <c r="G15" s="162"/>
      <c r="H15" s="163">
        <v>1565</v>
      </c>
      <c r="I15" s="122">
        <f>F15*H15</f>
        <v>0</v>
      </c>
      <c r="J15" s="163">
        <v>1643</v>
      </c>
      <c r="K15" s="122">
        <f>J15*F15</f>
        <v>0</v>
      </c>
      <c r="L15" s="163">
        <v>1722</v>
      </c>
      <c r="M15" s="122">
        <f>L15*F15</f>
        <v>0</v>
      </c>
      <c r="N15" s="163">
        <v>1800</v>
      </c>
      <c r="O15" s="122">
        <f>N15*F15</f>
        <v>0</v>
      </c>
      <c r="P15" s="164"/>
      <c r="Q15" s="162">
        <f>SUM(Q16:Q21)</f>
        <v>0</v>
      </c>
      <c r="R15" s="164"/>
      <c r="S15" s="122"/>
      <c r="T15" s="165"/>
      <c r="U15" s="166">
        <f>SUM(U16:U21)</f>
        <v>0</v>
      </c>
      <c r="V15" s="167">
        <v>2970</v>
      </c>
    </row>
    <row r="16" spans="1:22" s="3" customFormat="1" ht="15" customHeight="1">
      <c r="A16" s="258">
        <v>4627101823176</v>
      </c>
      <c r="B16" s="206"/>
      <c r="C16" s="40"/>
      <c r="D16" s="34" t="s">
        <v>835</v>
      </c>
      <c r="E16" s="135"/>
      <c r="F16" s="120"/>
      <c r="G16" s="133"/>
      <c r="H16" s="168"/>
      <c r="I16" s="122"/>
      <c r="J16" s="124"/>
      <c r="K16" s="123"/>
      <c r="L16" s="124"/>
      <c r="M16" s="123"/>
      <c r="N16" s="124"/>
      <c r="O16" s="123"/>
      <c r="P16" s="124"/>
      <c r="Q16" s="123"/>
      <c r="R16" s="124"/>
      <c r="S16" s="123"/>
      <c r="T16" s="169"/>
      <c r="U16" s="170"/>
      <c r="V16" s="171"/>
    </row>
    <row r="17" spans="1:22" s="3" customFormat="1" ht="15" customHeight="1">
      <c r="A17" s="258">
        <v>4627101822643</v>
      </c>
      <c r="B17" s="206"/>
      <c r="C17" s="40"/>
      <c r="D17" s="34" t="s">
        <v>843</v>
      </c>
      <c r="E17" s="135"/>
      <c r="F17" s="120"/>
      <c r="G17" s="133"/>
      <c r="H17" s="168"/>
      <c r="I17" s="122"/>
      <c r="J17" s="124"/>
      <c r="K17" s="123"/>
      <c r="L17" s="124"/>
      <c r="M17" s="123"/>
      <c r="N17" s="124"/>
      <c r="O17" s="123"/>
      <c r="P17" s="124"/>
      <c r="Q17" s="123"/>
      <c r="R17" s="124"/>
      <c r="S17" s="123"/>
      <c r="T17" s="169"/>
      <c r="U17" s="170"/>
      <c r="V17" s="171"/>
    </row>
    <row r="18" spans="1:22" s="3" customFormat="1" ht="15" customHeight="1">
      <c r="A18" s="258">
        <v>4627101823138</v>
      </c>
      <c r="B18" s="206"/>
      <c r="C18" s="40"/>
      <c r="D18" s="34" t="s">
        <v>854</v>
      </c>
      <c r="E18" s="135"/>
      <c r="F18" s="120"/>
      <c r="G18" s="133"/>
      <c r="H18" s="168"/>
      <c r="I18" s="122"/>
      <c r="J18" s="124"/>
      <c r="K18" s="123"/>
      <c r="L18" s="124"/>
      <c r="M18" s="123"/>
      <c r="N18" s="124"/>
      <c r="O18" s="123"/>
      <c r="P18" s="124"/>
      <c r="Q18" s="123"/>
      <c r="R18" s="124"/>
      <c r="S18" s="123"/>
      <c r="T18" s="169"/>
      <c r="U18" s="170"/>
      <c r="V18" s="171"/>
    </row>
    <row r="19" spans="1:22" s="3" customFormat="1" ht="15" customHeight="1">
      <c r="A19" s="258">
        <v>4627101822650</v>
      </c>
      <c r="B19" s="206"/>
      <c r="C19" s="40"/>
      <c r="D19" s="34" t="s">
        <v>2562</v>
      </c>
      <c r="E19" s="135"/>
      <c r="F19" s="120"/>
      <c r="G19" s="133"/>
      <c r="H19" s="168"/>
      <c r="I19" s="122"/>
      <c r="J19" s="124"/>
      <c r="K19" s="123"/>
      <c r="L19" s="124"/>
      <c r="M19" s="123"/>
      <c r="N19" s="124"/>
      <c r="O19" s="123"/>
      <c r="P19" s="124"/>
      <c r="Q19" s="123"/>
      <c r="R19" s="124"/>
      <c r="S19" s="123"/>
      <c r="T19" s="169"/>
      <c r="U19" s="170"/>
      <c r="V19" s="171"/>
    </row>
    <row r="20" spans="1:22" s="3" customFormat="1" ht="15" customHeight="1">
      <c r="A20" s="258">
        <v>4627101823145</v>
      </c>
      <c r="B20" s="206"/>
      <c r="C20" s="40"/>
      <c r="D20" s="34" t="s">
        <v>878</v>
      </c>
      <c r="E20" s="135"/>
      <c r="F20" s="120"/>
      <c r="G20" s="133"/>
      <c r="H20" s="168"/>
      <c r="I20" s="122"/>
      <c r="J20" s="124"/>
      <c r="K20" s="123"/>
      <c r="L20" s="124"/>
      <c r="M20" s="123"/>
      <c r="N20" s="124"/>
      <c r="O20" s="123"/>
      <c r="P20" s="124"/>
      <c r="Q20" s="123"/>
      <c r="R20" s="124"/>
      <c r="S20" s="123"/>
      <c r="T20" s="169"/>
      <c r="U20" s="170"/>
      <c r="V20" s="171"/>
    </row>
    <row r="21" spans="1:22" s="3" customFormat="1" ht="15" customHeight="1">
      <c r="A21" s="258">
        <v>4627101822667</v>
      </c>
      <c r="B21" s="206"/>
      <c r="C21" s="40"/>
      <c r="D21" s="34" t="s">
        <v>2563</v>
      </c>
      <c r="E21" s="135"/>
      <c r="F21" s="120"/>
      <c r="G21" s="133"/>
      <c r="H21" s="168"/>
      <c r="I21" s="122"/>
      <c r="J21" s="124"/>
      <c r="K21" s="123"/>
      <c r="L21" s="124"/>
      <c r="M21" s="123"/>
      <c r="N21" s="124"/>
      <c r="O21" s="123"/>
      <c r="P21" s="124"/>
      <c r="Q21" s="123"/>
      <c r="R21" s="124"/>
      <c r="S21" s="123"/>
      <c r="T21" s="169"/>
      <c r="U21" s="170"/>
      <c r="V21" s="171"/>
    </row>
    <row r="22" spans="1:22" s="41" customFormat="1" ht="24" customHeight="1">
      <c r="A22" s="259"/>
      <c r="B22" s="207"/>
      <c r="C22" s="33">
        <v>1429</v>
      </c>
      <c r="D22" s="58" t="s">
        <v>2564</v>
      </c>
      <c r="E22" s="136"/>
      <c r="F22" s="161"/>
      <c r="G22" s="163"/>
      <c r="H22" s="163">
        <v>750</v>
      </c>
      <c r="I22" s="162">
        <f>F22*H22</f>
        <v>0</v>
      </c>
      <c r="J22" s="163">
        <v>788</v>
      </c>
      <c r="K22" s="162">
        <f>J22*F22</f>
        <v>0</v>
      </c>
      <c r="L22" s="163">
        <v>825</v>
      </c>
      <c r="M22" s="162">
        <f>L22*F22</f>
        <v>0</v>
      </c>
      <c r="N22" s="163">
        <v>863</v>
      </c>
      <c r="O22" s="162">
        <f>N22*F22</f>
        <v>0</v>
      </c>
      <c r="P22" s="164"/>
      <c r="Q22" s="162"/>
      <c r="R22" s="164"/>
      <c r="S22" s="162"/>
      <c r="T22" s="172"/>
      <c r="U22" s="166"/>
      <c r="V22" s="167">
        <v>1425</v>
      </c>
    </row>
    <row r="23" spans="1:22" s="21" customFormat="1" ht="17.45" customHeight="1">
      <c r="A23" s="260">
        <v>4627101822186</v>
      </c>
      <c r="B23" s="208"/>
      <c r="C23" s="33"/>
      <c r="D23" s="34" t="s">
        <v>2565</v>
      </c>
      <c r="E23" s="137"/>
      <c r="F23" s="168"/>
      <c r="G23" s="103"/>
      <c r="H23" s="173"/>
      <c r="I23" s="122"/>
      <c r="J23" s="124"/>
      <c r="K23" s="123"/>
      <c r="L23" s="124"/>
      <c r="M23" s="123"/>
      <c r="N23" s="124"/>
      <c r="O23" s="123"/>
      <c r="P23" s="124"/>
      <c r="Q23" s="123"/>
      <c r="R23" s="124"/>
      <c r="S23" s="123"/>
      <c r="T23" s="174"/>
      <c r="U23" s="170"/>
      <c r="V23" s="171"/>
    </row>
    <row r="24" spans="1:22" ht="17.45" customHeight="1">
      <c r="A24" s="260">
        <v>4627101820199</v>
      </c>
      <c r="B24" s="208"/>
      <c r="C24" s="226"/>
      <c r="D24" s="34" t="s">
        <v>854</v>
      </c>
      <c r="E24" s="138"/>
      <c r="F24" s="168"/>
      <c r="G24" s="175"/>
      <c r="H24" s="163"/>
      <c r="I24" s="122"/>
      <c r="J24" s="124"/>
      <c r="K24" s="123"/>
      <c r="L24" s="124"/>
      <c r="M24" s="123"/>
      <c r="N24" s="124"/>
      <c r="O24" s="123"/>
      <c r="P24" s="124"/>
      <c r="Q24" s="123"/>
      <c r="R24" s="124"/>
      <c r="S24" s="123"/>
      <c r="T24" s="169"/>
      <c r="U24" s="170"/>
      <c r="V24" s="193"/>
    </row>
    <row r="25" spans="1:22" ht="17.45" customHeight="1">
      <c r="A25" s="260">
        <v>4627101820205</v>
      </c>
      <c r="B25" s="208"/>
      <c r="C25" s="33"/>
      <c r="D25" s="34" t="s">
        <v>2566</v>
      </c>
      <c r="E25" s="138"/>
      <c r="F25" s="168"/>
      <c r="G25" s="175"/>
      <c r="H25" s="163"/>
      <c r="I25" s="122"/>
      <c r="J25" s="124"/>
      <c r="K25" s="123"/>
      <c r="L25" s="124"/>
      <c r="M25" s="123"/>
      <c r="N25" s="124"/>
      <c r="O25" s="123"/>
      <c r="P25" s="124"/>
      <c r="Q25" s="123"/>
      <c r="R25" s="124"/>
      <c r="S25" s="123"/>
      <c r="T25" s="169"/>
      <c r="U25" s="170"/>
      <c r="V25" s="193"/>
    </row>
    <row r="26" spans="1:22" ht="15" customHeight="1">
      <c r="A26" s="260">
        <v>4627101820236</v>
      </c>
      <c r="B26" s="208"/>
      <c r="C26" s="226"/>
      <c r="D26" s="29" t="s">
        <v>2567</v>
      </c>
      <c r="E26" s="138"/>
      <c r="F26" s="168"/>
      <c r="G26" s="175"/>
      <c r="H26" s="163"/>
      <c r="I26" s="122"/>
      <c r="J26" s="124"/>
      <c r="K26" s="123"/>
      <c r="L26" s="124"/>
      <c r="M26" s="123"/>
      <c r="N26" s="124"/>
      <c r="O26" s="123"/>
      <c r="P26" s="124"/>
      <c r="Q26" s="123"/>
      <c r="R26" s="124"/>
      <c r="S26" s="123"/>
      <c r="T26" s="169"/>
      <c r="U26" s="170"/>
      <c r="V26" s="193"/>
    </row>
    <row r="27" spans="1:22" s="735" customFormat="1" ht="21.75" hidden="1" customHeight="1">
      <c r="A27" s="723"/>
      <c r="B27" s="724"/>
      <c r="C27" s="725">
        <v>1521</v>
      </c>
      <c r="D27" s="726" t="s">
        <v>2568</v>
      </c>
      <c r="E27" s="727"/>
      <c r="F27" s="728"/>
      <c r="G27" s="729"/>
      <c r="H27" s="730">
        <v>375</v>
      </c>
      <c r="I27" s="731">
        <f>F27*H27</f>
        <v>0</v>
      </c>
      <c r="J27" s="730">
        <v>394</v>
      </c>
      <c r="K27" s="731">
        <f>F27*J27</f>
        <v>0</v>
      </c>
      <c r="L27" s="730">
        <v>413</v>
      </c>
      <c r="M27" s="731">
        <f>L27*F27</f>
        <v>0</v>
      </c>
      <c r="N27" s="730">
        <v>431</v>
      </c>
      <c r="O27" s="731">
        <f>N27*F27</f>
        <v>0</v>
      </c>
      <c r="P27" s="732"/>
      <c r="Q27" s="731"/>
      <c r="R27" s="732"/>
      <c r="S27" s="731"/>
      <c r="T27" s="733"/>
      <c r="U27" s="734"/>
      <c r="V27" s="730">
        <v>710</v>
      </c>
    </row>
    <row r="28" spans="1:22" s="735" customFormat="1" ht="15" hidden="1" customHeight="1">
      <c r="A28" s="736">
        <v>4627101822193</v>
      </c>
      <c r="B28" s="737"/>
      <c r="C28" s="725"/>
      <c r="D28" s="738" t="s">
        <v>2569</v>
      </c>
      <c r="E28" s="739"/>
      <c r="F28" s="730"/>
      <c r="G28" s="729"/>
      <c r="H28" s="740"/>
      <c r="I28" s="741"/>
      <c r="J28" s="742"/>
      <c r="K28" s="743"/>
      <c r="L28" s="742"/>
      <c r="M28" s="743"/>
      <c r="N28" s="742"/>
      <c r="O28" s="743"/>
      <c r="P28" s="742"/>
      <c r="Q28" s="743"/>
      <c r="R28" s="742"/>
      <c r="S28" s="743"/>
      <c r="T28" s="744"/>
      <c r="U28" s="745"/>
      <c r="V28" s="530"/>
    </row>
    <row r="29" spans="1:22" s="735" customFormat="1" ht="15" hidden="1" customHeight="1">
      <c r="A29" s="746">
        <v>4620748860979</v>
      </c>
      <c r="B29" s="747"/>
      <c r="C29" s="725"/>
      <c r="D29" s="738" t="s">
        <v>2570</v>
      </c>
      <c r="E29" s="748"/>
      <c r="F29" s="729"/>
      <c r="G29" s="290"/>
      <c r="H29" s="730"/>
      <c r="I29" s="741"/>
      <c r="J29" s="742"/>
      <c r="K29" s="743"/>
      <c r="L29" s="742"/>
      <c r="M29" s="743"/>
      <c r="N29" s="742"/>
      <c r="O29" s="743"/>
      <c r="P29" s="742"/>
      <c r="Q29" s="743"/>
      <c r="R29" s="742"/>
      <c r="S29" s="743"/>
      <c r="T29" s="749"/>
      <c r="U29" s="745"/>
      <c r="V29" s="530"/>
    </row>
    <row r="30" spans="1:22" s="735" customFormat="1" ht="15" hidden="1" customHeight="1">
      <c r="A30" s="746">
        <v>4620748860986</v>
      </c>
      <c r="B30" s="747"/>
      <c r="C30" s="725"/>
      <c r="D30" s="738" t="s">
        <v>2571</v>
      </c>
      <c r="E30" s="748"/>
      <c r="F30" s="729"/>
      <c r="G30" s="290"/>
      <c r="H30" s="730"/>
      <c r="I30" s="741"/>
      <c r="J30" s="742"/>
      <c r="K30" s="743"/>
      <c r="L30" s="742"/>
      <c r="M30" s="743"/>
      <c r="N30" s="742"/>
      <c r="O30" s="743"/>
      <c r="P30" s="742"/>
      <c r="Q30" s="743"/>
      <c r="R30" s="742"/>
      <c r="S30" s="743"/>
      <c r="T30" s="749"/>
      <c r="U30" s="745"/>
      <c r="V30" s="530"/>
    </row>
    <row r="31" spans="1:22" s="735" customFormat="1" ht="15.75" hidden="1" customHeight="1">
      <c r="A31" s="746">
        <v>4620748862195</v>
      </c>
      <c r="B31" s="747"/>
      <c r="C31" s="725"/>
      <c r="D31" s="738" t="s">
        <v>2567</v>
      </c>
      <c r="E31" s="748"/>
      <c r="F31" s="729"/>
      <c r="G31" s="290"/>
      <c r="H31" s="730"/>
      <c r="I31" s="741"/>
      <c r="J31" s="742"/>
      <c r="K31" s="743"/>
      <c r="L31" s="742"/>
      <c r="M31" s="743"/>
      <c r="N31" s="742"/>
      <c r="O31" s="743"/>
      <c r="P31" s="742"/>
      <c r="Q31" s="743"/>
      <c r="R31" s="742"/>
      <c r="S31" s="743"/>
      <c r="T31" s="749"/>
      <c r="U31" s="745"/>
      <c r="V31" s="530"/>
    </row>
    <row r="32" spans="1:22" ht="0.75" hidden="1" customHeight="1">
      <c r="A32" s="262"/>
      <c r="B32" s="208"/>
      <c r="C32" s="132">
        <v>1608</v>
      </c>
      <c r="D32" s="60" t="s">
        <v>2572</v>
      </c>
      <c r="E32" s="134"/>
      <c r="F32" s="161"/>
      <c r="G32" s="162"/>
      <c r="H32" s="121">
        <v>260</v>
      </c>
      <c r="I32" s="122">
        <f>F32*H32</f>
        <v>0</v>
      </c>
      <c r="J32" s="121">
        <v>273</v>
      </c>
      <c r="K32" s="122">
        <f>F32*J32</f>
        <v>0</v>
      </c>
      <c r="L32" s="121">
        <v>286</v>
      </c>
      <c r="M32" s="122">
        <f>F32*L32</f>
        <v>0</v>
      </c>
      <c r="N32" s="121">
        <v>299</v>
      </c>
      <c r="O32" s="122">
        <f>F32*N32</f>
        <v>0</v>
      </c>
      <c r="P32" s="176"/>
      <c r="Q32" s="122"/>
      <c r="R32" s="176"/>
      <c r="S32" s="122"/>
      <c r="T32" s="177"/>
      <c r="U32" s="178"/>
      <c r="V32" s="167"/>
    </row>
    <row r="33" spans="1:22" ht="16.5" hidden="1" customHeight="1">
      <c r="A33" s="263"/>
      <c r="B33" s="209"/>
      <c r="C33" s="132"/>
      <c r="D33" s="29" t="s">
        <v>1343</v>
      </c>
      <c r="E33" s="140"/>
      <c r="F33" s="120"/>
      <c r="G33" s="133"/>
      <c r="H33" s="121"/>
      <c r="I33" s="122"/>
      <c r="J33" s="124"/>
      <c r="K33" s="123"/>
      <c r="L33" s="124"/>
      <c r="M33" s="123"/>
      <c r="N33" s="124"/>
      <c r="O33" s="123"/>
      <c r="P33" s="124"/>
      <c r="Q33" s="123"/>
      <c r="R33" s="124"/>
      <c r="S33" s="123"/>
      <c r="T33" s="169"/>
      <c r="U33" s="170"/>
      <c r="V33" s="193"/>
    </row>
    <row r="34" spans="1:22" ht="16.5" hidden="1" customHeight="1">
      <c r="A34" s="264"/>
      <c r="B34" s="210"/>
      <c r="C34" s="132"/>
      <c r="D34" s="39" t="s">
        <v>1364</v>
      </c>
      <c r="E34" s="140"/>
      <c r="F34" s="120"/>
      <c r="G34" s="133"/>
      <c r="H34" s="121"/>
      <c r="I34" s="122"/>
      <c r="J34" s="124"/>
      <c r="K34" s="123"/>
      <c r="L34" s="124"/>
      <c r="M34" s="123"/>
      <c r="N34" s="124"/>
      <c r="O34" s="123"/>
      <c r="P34" s="124"/>
      <c r="Q34" s="123"/>
      <c r="R34" s="124"/>
      <c r="S34" s="123"/>
      <c r="T34" s="169"/>
      <c r="U34" s="170"/>
      <c r="V34" s="193"/>
    </row>
    <row r="35" spans="1:22" ht="16.5" hidden="1" customHeight="1">
      <c r="A35" s="264"/>
      <c r="B35" s="210"/>
      <c r="C35" s="132"/>
      <c r="D35" s="39" t="s">
        <v>2567</v>
      </c>
      <c r="E35" s="140"/>
      <c r="F35" s="120"/>
      <c r="G35" s="133"/>
      <c r="H35" s="121"/>
      <c r="I35" s="122"/>
      <c r="J35" s="124"/>
      <c r="K35" s="123"/>
      <c r="L35" s="124"/>
      <c r="M35" s="123"/>
      <c r="N35" s="124"/>
      <c r="O35" s="123"/>
      <c r="P35" s="124"/>
      <c r="Q35" s="123"/>
      <c r="R35" s="124"/>
      <c r="S35" s="123"/>
      <c r="T35" s="169"/>
      <c r="U35" s="170"/>
      <c r="V35" s="193"/>
    </row>
    <row r="36" spans="1:22" ht="1.5" hidden="1" customHeight="1">
      <c r="A36" s="263"/>
      <c r="B36" s="209"/>
      <c r="C36" s="132">
        <v>1610</v>
      </c>
      <c r="D36" s="59" t="s">
        <v>2573</v>
      </c>
      <c r="E36" s="139"/>
      <c r="F36" s="161"/>
      <c r="G36" s="133"/>
      <c r="H36" s="163">
        <v>260</v>
      </c>
      <c r="I36" s="122">
        <f>F36*H36</f>
        <v>0</v>
      </c>
      <c r="J36" s="121">
        <v>273</v>
      </c>
      <c r="K36" s="122">
        <f>F36*J36</f>
        <v>0</v>
      </c>
      <c r="L36" s="121">
        <v>286</v>
      </c>
      <c r="M36" s="122">
        <f>L36*F36</f>
        <v>0</v>
      </c>
      <c r="N36" s="121">
        <v>299</v>
      </c>
      <c r="O36" s="122">
        <f>F36*N36</f>
        <v>0</v>
      </c>
      <c r="P36" s="176"/>
      <c r="Q36" s="122"/>
      <c r="R36" s="176"/>
      <c r="S36" s="122"/>
      <c r="T36" s="177"/>
      <c r="U36" s="178"/>
      <c r="V36" s="167"/>
    </row>
    <row r="37" spans="1:22" ht="17.25" hidden="1" customHeight="1">
      <c r="A37" s="263"/>
      <c r="B37" s="209"/>
      <c r="C37" s="132"/>
      <c r="D37" s="29" t="s">
        <v>1353</v>
      </c>
      <c r="E37" s="140"/>
      <c r="F37" s="120"/>
      <c r="G37" s="133"/>
      <c r="H37" s="121"/>
      <c r="I37" s="122"/>
      <c r="J37" s="124"/>
      <c r="K37" s="123"/>
      <c r="L37" s="124"/>
      <c r="M37" s="123"/>
      <c r="N37" s="124"/>
      <c r="O37" s="123"/>
      <c r="P37" s="124"/>
      <c r="Q37" s="123"/>
      <c r="R37" s="124"/>
      <c r="S37" s="123"/>
      <c r="T37" s="169"/>
      <c r="U37" s="170"/>
      <c r="V37" s="193"/>
    </row>
    <row r="38" spans="1:22" ht="17.25" hidden="1" customHeight="1">
      <c r="A38" s="263"/>
      <c r="B38" s="211"/>
      <c r="C38" s="132"/>
      <c r="D38" s="39" t="s">
        <v>1370</v>
      </c>
      <c r="E38" s="140"/>
      <c r="F38" s="120"/>
      <c r="G38" s="133"/>
      <c r="H38" s="121"/>
      <c r="I38" s="122"/>
      <c r="J38" s="124"/>
      <c r="K38" s="123"/>
      <c r="L38" s="124"/>
      <c r="M38" s="123"/>
      <c r="N38" s="124"/>
      <c r="O38" s="123"/>
      <c r="P38" s="124"/>
      <c r="Q38" s="123"/>
      <c r="R38" s="124"/>
      <c r="S38" s="123"/>
      <c r="T38" s="169"/>
      <c r="U38" s="170"/>
      <c r="V38" s="193"/>
    </row>
    <row r="39" spans="1:22" ht="17.25" hidden="1" customHeight="1">
      <c r="A39" s="264"/>
      <c r="B39" s="212"/>
      <c r="C39" s="132"/>
      <c r="D39" s="34" t="s">
        <v>2567</v>
      </c>
      <c r="E39" s="140"/>
      <c r="F39" s="120"/>
      <c r="G39" s="133"/>
      <c r="H39" s="121"/>
      <c r="I39" s="122"/>
      <c r="J39" s="124"/>
      <c r="K39" s="123"/>
      <c r="L39" s="124"/>
      <c r="M39" s="123"/>
      <c r="N39" s="124"/>
      <c r="O39" s="123"/>
      <c r="P39" s="124"/>
      <c r="Q39" s="123"/>
      <c r="R39" s="124"/>
      <c r="S39" s="123"/>
      <c r="T39" s="169"/>
      <c r="U39" s="170"/>
      <c r="V39" s="193"/>
    </row>
    <row r="40" spans="1:22" ht="21" hidden="1" customHeight="1">
      <c r="A40" s="263"/>
      <c r="B40" s="211"/>
      <c r="C40" s="132">
        <v>1605</v>
      </c>
      <c r="D40" s="59" t="s">
        <v>2574</v>
      </c>
      <c r="E40" s="139"/>
      <c r="F40" s="161"/>
      <c r="G40" s="133"/>
      <c r="H40" s="163">
        <v>260</v>
      </c>
      <c r="I40" s="122">
        <f>F40*H40</f>
        <v>0</v>
      </c>
      <c r="J40" s="121">
        <v>273</v>
      </c>
      <c r="K40" s="122">
        <f>F40*J40</f>
        <v>0</v>
      </c>
      <c r="L40" s="121">
        <v>286</v>
      </c>
      <c r="M40" s="122">
        <f>F40*L40</f>
        <v>0</v>
      </c>
      <c r="N40" s="121">
        <v>299</v>
      </c>
      <c r="O40" s="122">
        <f>N40*F40</f>
        <v>0</v>
      </c>
      <c r="P40" s="176"/>
      <c r="Q40" s="122"/>
      <c r="R40" s="176"/>
      <c r="S40" s="122"/>
      <c r="T40" s="177"/>
      <c r="U40" s="178"/>
      <c r="V40" s="167"/>
    </row>
    <row r="41" spans="1:22" ht="16.5" hidden="1" customHeight="1">
      <c r="A41" s="264"/>
      <c r="B41" s="212"/>
      <c r="C41" s="132"/>
      <c r="D41" s="29" t="s">
        <v>1359</v>
      </c>
      <c r="E41" s="140"/>
      <c r="F41" s="120"/>
      <c r="G41" s="133"/>
      <c r="H41" s="121"/>
      <c r="I41" s="122"/>
      <c r="J41" s="124"/>
      <c r="K41" s="123"/>
      <c r="L41" s="124"/>
      <c r="M41" s="123"/>
      <c r="N41" s="124"/>
      <c r="O41" s="123"/>
      <c r="P41" s="124"/>
      <c r="Q41" s="123"/>
      <c r="R41" s="124"/>
      <c r="S41" s="123"/>
      <c r="T41" s="169"/>
      <c r="U41" s="170"/>
      <c r="V41" s="193"/>
    </row>
    <row r="42" spans="1:22" ht="16.5" hidden="1" customHeight="1">
      <c r="A42" s="264"/>
      <c r="B42" s="212"/>
      <c r="C42" s="132"/>
      <c r="D42" s="39" t="s">
        <v>1376</v>
      </c>
      <c r="E42" s="140"/>
      <c r="F42" s="120"/>
      <c r="G42" s="133"/>
      <c r="H42" s="121"/>
      <c r="I42" s="122"/>
      <c r="J42" s="124"/>
      <c r="K42" s="123"/>
      <c r="L42" s="124"/>
      <c r="M42" s="123"/>
      <c r="N42" s="124"/>
      <c r="O42" s="123"/>
      <c r="P42" s="124"/>
      <c r="Q42" s="123"/>
      <c r="R42" s="124"/>
      <c r="S42" s="123"/>
      <c r="T42" s="169"/>
      <c r="U42" s="170"/>
      <c r="V42" s="193"/>
    </row>
    <row r="43" spans="1:22" ht="16.5" hidden="1" customHeight="1">
      <c r="A43" s="265"/>
      <c r="B43" s="213"/>
      <c r="C43" s="40"/>
      <c r="D43" s="36" t="s">
        <v>2567</v>
      </c>
      <c r="E43" s="135"/>
      <c r="F43" s="120"/>
      <c r="G43" s="133"/>
      <c r="H43" s="163"/>
      <c r="I43" s="122"/>
      <c r="J43" s="124"/>
      <c r="K43" s="123"/>
      <c r="L43" s="124"/>
      <c r="M43" s="123"/>
      <c r="N43" s="124"/>
      <c r="O43" s="123"/>
      <c r="P43" s="124"/>
      <c r="Q43" s="123"/>
      <c r="R43" s="124"/>
      <c r="S43" s="123"/>
      <c r="T43" s="169"/>
      <c r="U43" s="170"/>
      <c r="V43" s="193"/>
    </row>
    <row r="44" spans="1:22" ht="21.6" customHeight="1">
      <c r="A44" s="261"/>
      <c r="B44" s="214"/>
      <c r="C44" s="227">
        <v>2582</v>
      </c>
      <c r="D44" s="61" t="s">
        <v>2575</v>
      </c>
      <c r="E44" s="141"/>
      <c r="F44" s="161"/>
      <c r="G44" s="133"/>
      <c r="H44" s="121">
        <v>810</v>
      </c>
      <c r="I44" s="173">
        <f>F44*H44</f>
        <v>0</v>
      </c>
      <c r="J44" s="121">
        <v>851</v>
      </c>
      <c r="K44" s="173">
        <f>F44*J44</f>
        <v>0</v>
      </c>
      <c r="L44" s="121">
        <v>891</v>
      </c>
      <c r="M44" s="173">
        <f>F44*L44</f>
        <v>0</v>
      </c>
      <c r="N44" s="121">
        <v>932</v>
      </c>
      <c r="O44" s="173">
        <f>F44*N44</f>
        <v>0</v>
      </c>
      <c r="P44" s="179"/>
      <c r="Q44" s="123"/>
      <c r="R44" s="179"/>
      <c r="S44" s="123"/>
      <c r="T44" s="180"/>
      <c r="U44" s="181"/>
      <c r="V44" s="193">
        <v>1535</v>
      </c>
    </row>
    <row r="45" spans="1:22" ht="21.6" customHeight="1">
      <c r="A45" s="261"/>
      <c r="B45" s="214"/>
      <c r="C45" s="228"/>
      <c r="D45" s="29" t="s">
        <v>1343</v>
      </c>
      <c r="E45" s="142"/>
      <c r="F45" s="120"/>
      <c r="G45" s="133"/>
      <c r="H45" s="182"/>
      <c r="I45" s="122"/>
      <c r="J45" s="183"/>
      <c r="K45" s="123"/>
      <c r="L45" s="183"/>
      <c r="M45" s="123"/>
      <c r="N45" s="183"/>
      <c r="O45" s="123"/>
      <c r="P45" s="183"/>
      <c r="Q45" s="123"/>
      <c r="R45" s="183"/>
      <c r="S45" s="123"/>
      <c r="T45" s="180"/>
      <c r="U45" s="181"/>
      <c r="V45" s="193"/>
    </row>
    <row r="46" spans="1:22" ht="21.6" customHeight="1">
      <c r="A46" s="261"/>
      <c r="B46" s="214"/>
      <c r="C46" s="228"/>
      <c r="D46" s="29" t="s">
        <v>1364</v>
      </c>
      <c r="E46" s="142"/>
      <c r="F46" s="120"/>
      <c r="G46" s="133"/>
      <c r="H46" s="182"/>
      <c r="I46" s="122"/>
      <c r="J46" s="183"/>
      <c r="K46" s="123"/>
      <c r="L46" s="183"/>
      <c r="M46" s="123"/>
      <c r="N46" s="183"/>
      <c r="O46" s="123"/>
      <c r="P46" s="183"/>
      <c r="Q46" s="123"/>
      <c r="R46" s="183"/>
      <c r="S46" s="123"/>
      <c r="T46" s="180"/>
      <c r="U46" s="181"/>
      <c r="V46" s="193"/>
    </row>
    <row r="47" spans="1:22" ht="21.6" customHeight="1">
      <c r="A47" s="261"/>
      <c r="B47" s="215"/>
      <c r="C47" s="228"/>
      <c r="D47" s="29" t="s">
        <v>2576</v>
      </c>
      <c r="E47" s="142"/>
      <c r="F47" s="120"/>
      <c r="G47" s="133"/>
      <c r="H47" s="182"/>
      <c r="I47" s="122"/>
      <c r="J47" s="183"/>
      <c r="K47" s="123"/>
      <c r="L47" s="183"/>
      <c r="M47" s="123"/>
      <c r="N47" s="183"/>
      <c r="O47" s="123"/>
      <c r="P47" s="183"/>
      <c r="Q47" s="123"/>
      <c r="R47" s="183"/>
      <c r="S47" s="123"/>
      <c r="T47" s="180"/>
      <c r="U47" s="181"/>
      <c r="V47" s="193"/>
    </row>
    <row r="48" spans="1:22" ht="21.6" customHeight="1">
      <c r="A48" s="261"/>
      <c r="B48" s="215"/>
      <c r="C48" s="228"/>
      <c r="D48" s="29" t="s">
        <v>2577</v>
      </c>
      <c r="E48" s="142"/>
      <c r="F48" s="120"/>
      <c r="G48" s="133"/>
      <c r="H48" s="182"/>
      <c r="I48" s="122"/>
      <c r="J48" s="183"/>
      <c r="K48" s="123"/>
      <c r="L48" s="183"/>
      <c r="M48" s="123"/>
      <c r="N48" s="183"/>
      <c r="O48" s="123"/>
      <c r="P48" s="183"/>
      <c r="Q48" s="123"/>
      <c r="R48" s="183"/>
      <c r="S48" s="123"/>
      <c r="T48" s="180"/>
      <c r="U48" s="181"/>
      <c r="V48" s="193"/>
    </row>
    <row r="49" spans="1:22" ht="18" customHeight="1">
      <c r="A49" s="261"/>
      <c r="B49" s="215"/>
      <c r="C49" s="228"/>
      <c r="D49" s="29" t="s">
        <v>2578</v>
      </c>
      <c r="E49" s="143"/>
      <c r="F49" s="168"/>
      <c r="G49" s="184"/>
      <c r="H49" s="182"/>
      <c r="I49" s="122"/>
      <c r="J49" s="124"/>
      <c r="K49" s="123"/>
      <c r="L49" s="124"/>
      <c r="M49" s="123"/>
      <c r="N49" s="124"/>
      <c r="O49" s="123"/>
      <c r="P49" s="124"/>
      <c r="Q49" s="123"/>
      <c r="R49" s="124"/>
      <c r="S49" s="123"/>
      <c r="T49" s="169"/>
      <c r="U49" s="170"/>
      <c r="V49" s="193"/>
    </row>
    <row r="50" spans="1:22" ht="21" hidden="1" customHeight="1">
      <c r="A50" s="261"/>
      <c r="B50" s="215"/>
      <c r="C50" s="228"/>
      <c r="D50" s="29"/>
      <c r="E50" s="143"/>
      <c r="F50" s="168"/>
      <c r="G50" s="184"/>
      <c r="H50" s="168"/>
      <c r="I50" s="122"/>
      <c r="J50" s="124"/>
      <c r="K50" s="123"/>
      <c r="L50" s="124"/>
      <c r="M50" s="123"/>
      <c r="N50" s="124"/>
      <c r="O50" s="123"/>
      <c r="P50" s="124"/>
      <c r="Q50" s="123"/>
      <c r="R50" s="124"/>
      <c r="S50" s="123"/>
      <c r="T50" s="169"/>
      <c r="U50" s="170"/>
      <c r="V50" s="193"/>
    </row>
    <row r="51" spans="1:22" ht="21" hidden="1" customHeight="1">
      <c r="A51" s="261"/>
      <c r="B51" s="215"/>
      <c r="C51" s="227">
        <v>2583</v>
      </c>
      <c r="D51" s="61" t="s">
        <v>2579</v>
      </c>
      <c r="E51" s="144"/>
      <c r="F51" s="185"/>
      <c r="G51" s="184"/>
      <c r="H51" s="121">
        <v>550</v>
      </c>
      <c r="I51" s="173">
        <f>F51*H51</f>
        <v>0</v>
      </c>
      <c r="J51" s="121">
        <v>578</v>
      </c>
      <c r="K51" s="173">
        <f>F51*J51</f>
        <v>0</v>
      </c>
      <c r="L51" s="121">
        <v>605</v>
      </c>
      <c r="M51" s="173">
        <f>F51*L51</f>
        <v>0</v>
      </c>
      <c r="N51" s="121">
        <v>633</v>
      </c>
      <c r="O51" s="173">
        <f>F51*N51</f>
        <v>0</v>
      </c>
      <c r="P51" s="124"/>
      <c r="Q51" s="123"/>
      <c r="R51" s="124"/>
      <c r="S51" s="123"/>
      <c r="T51" s="169"/>
      <c r="U51" s="170"/>
      <c r="V51" s="193"/>
    </row>
    <row r="52" spans="1:22" ht="21" hidden="1" customHeight="1">
      <c r="A52" s="261"/>
      <c r="B52" s="215"/>
      <c r="C52" s="228"/>
      <c r="D52" s="29" t="s">
        <v>1353</v>
      </c>
      <c r="E52" s="143"/>
      <c r="F52" s="168"/>
      <c r="G52" s="184"/>
      <c r="H52" s="168"/>
      <c r="I52" s="122"/>
      <c r="J52" s="124"/>
      <c r="K52" s="123"/>
      <c r="L52" s="124"/>
      <c r="M52" s="123"/>
      <c r="N52" s="124"/>
      <c r="O52" s="173"/>
      <c r="P52" s="124"/>
      <c r="Q52" s="123"/>
      <c r="R52" s="124"/>
      <c r="S52" s="123"/>
      <c r="T52" s="169"/>
      <c r="U52" s="170"/>
      <c r="V52" s="193"/>
    </row>
    <row r="53" spans="1:22" ht="21" hidden="1" customHeight="1">
      <c r="A53" s="261"/>
      <c r="B53" s="215"/>
      <c r="C53" s="228"/>
      <c r="D53" s="29" t="s">
        <v>2580</v>
      </c>
      <c r="E53" s="143"/>
      <c r="F53" s="168"/>
      <c r="G53" s="184"/>
      <c r="H53" s="186"/>
      <c r="I53" s="122"/>
      <c r="J53" s="124"/>
      <c r="K53" s="123"/>
      <c r="L53" s="124"/>
      <c r="M53" s="123"/>
      <c r="N53" s="124"/>
      <c r="O53" s="173"/>
      <c r="P53" s="124"/>
      <c r="Q53" s="123"/>
      <c r="R53" s="124"/>
      <c r="S53" s="123"/>
      <c r="T53" s="169"/>
      <c r="U53" s="170"/>
      <c r="V53" s="193"/>
    </row>
    <row r="54" spans="1:22" ht="26.25" hidden="1" customHeight="1">
      <c r="A54" s="266"/>
      <c r="B54" s="216"/>
      <c r="C54" s="228"/>
      <c r="D54" s="29" t="s">
        <v>2581</v>
      </c>
      <c r="E54" s="143"/>
      <c r="F54" s="168"/>
      <c r="G54" s="184"/>
      <c r="H54" s="186"/>
      <c r="I54" s="122"/>
      <c r="J54" s="124"/>
      <c r="K54" s="123"/>
      <c r="L54" s="124"/>
      <c r="M54" s="123"/>
      <c r="N54" s="124"/>
      <c r="O54" s="173"/>
      <c r="P54" s="124"/>
      <c r="Q54" s="123"/>
      <c r="R54" s="124"/>
      <c r="S54" s="123"/>
      <c r="T54" s="169"/>
      <c r="U54" s="170"/>
      <c r="V54" s="193"/>
    </row>
    <row r="55" spans="1:22" ht="24" hidden="1" customHeight="1">
      <c r="A55" s="266"/>
      <c r="B55" s="216"/>
      <c r="C55" s="228"/>
      <c r="D55" s="29" t="s">
        <v>2577</v>
      </c>
      <c r="E55" s="143"/>
      <c r="F55" s="168"/>
      <c r="G55" s="184"/>
      <c r="H55" s="186"/>
      <c r="I55" s="122"/>
      <c r="J55" s="124"/>
      <c r="K55" s="123"/>
      <c r="L55" s="124"/>
      <c r="M55" s="123"/>
      <c r="N55" s="124"/>
      <c r="O55" s="173"/>
      <c r="P55" s="124"/>
      <c r="Q55" s="123"/>
      <c r="R55" s="124"/>
      <c r="S55" s="123"/>
      <c r="T55" s="169"/>
      <c r="U55" s="170"/>
      <c r="V55" s="193"/>
    </row>
    <row r="56" spans="1:22" ht="21.75" hidden="1" customHeight="1">
      <c r="A56" s="266"/>
      <c r="B56" s="216"/>
      <c r="C56" s="228"/>
      <c r="D56" s="29" t="s">
        <v>2578</v>
      </c>
      <c r="E56" s="143"/>
      <c r="F56" s="168"/>
      <c r="G56" s="184"/>
      <c r="H56" s="186"/>
      <c r="I56" s="122"/>
      <c r="J56" s="124"/>
      <c r="K56" s="123"/>
      <c r="L56" s="124"/>
      <c r="M56" s="123"/>
      <c r="N56" s="124"/>
      <c r="O56" s="173"/>
      <c r="P56" s="124"/>
      <c r="Q56" s="123"/>
      <c r="R56" s="124"/>
      <c r="S56" s="123"/>
      <c r="T56" s="169"/>
      <c r="U56" s="170"/>
      <c r="V56" s="193"/>
    </row>
    <row r="57" spans="1:22" ht="21.6" customHeight="1">
      <c r="A57" s="266"/>
      <c r="B57" s="216"/>
      <c r="C57" s="227">
        <v>2584</v>
      </c>
      <c r="D57" s="61" t="s">
        <v>2582</v>
      </c>
      <c r="E57" s="136"/>
      <c r="F57" s="161"/>
      <c r="G57" s="133"/>
      <c r="H57" s="121">
        <v>810</v>
      </c>
      <c r="I57" s="173">
        <f>F57*H57</f>
        <v>0</v>
      </c>
      <c r="J57" s="121">
        <v>851</v>
      </c>
      <c r="K57" s="173">
        <f>F57*J57</f>
        <v>0</v>
      </c>
      <c r="L57" s="121">
        <v>891</v>
      </c>
      <c r="M57" s="173">
        <f>F57*L57</f>
        <v>0</v>
      </c>
      <c r="N57" s="121">
        <v>932</v>
      </c>
      <c r="O57" s="173">
        <f>N57*F57</f>
        <v>0</v>
      </c>
      <c r="P57" s="124"/>
      <c r="Q57" s="123"/>
      <c r="R57" s="124"/>
      <c r="S57" s="123"/>
      <c r="T57" s="169"/>
      <c r="U57" s="170"/>
      <c r="V57" s="193">
        <v>1535</v>
      </c>
    </row>
    <row r="58" spans="1:22" ht="19.149999999999999" customHeight="1">
      <c r="A58" s="260">
        <v>4620748863260</v>
      </c>
      <c r="B58" s="208"/>
      <c r="C58" s="228"/>
      <c r="D58" s="29" t="s">
        <v>1359</v>
      </c>
      <c r="E58" s="143"/>
      <c r="F58" s="168"/>
      <c r="G58" s="184"/>
      <c r="H58" s="186"/>
      <c r="I58" s="122"/>
      <c r="J58" s="124"/>
      <c r="K58" s="123"/>
      <c r="L58" s="124"/>
      <c r="M58" s="123"/>
      <c r="N58" s="124"/>
      <c r="O58" s="123"/>
      <c r="P58" s="124"/>
      <c r="Q58" s="123"/>
      <c r="R58" s="124"/>
      <c r="S58" s="123"/>
      <c r="T58" s="187"/>
      <c r="U58" s="170"/>
      <c r="V58" s="193"/>
    </row>
    <row r="59" spans="1:22" ht="21.6" customHeight="1">
      <c r="A59" s="260">
        <v>4620748863284</v>
      </c>
      <c r="B59" s="208"/>
      <c r="C59" s="228"/>
      <c r="D59" s="29" t="s">
        <v>2583</v>
      </c>
      <c r="E59" s="143"/>
      <c r="F59" s="168"/>
      <c r="G59" s="184"/>
      <c r="H59" s="186"/>
      <c r="I59" s="122"/>
      <c r="J59" s="124"/>
      <c r="K59" s="123"/>
      <c r="L59" s="124"/>
      <c r="M59" s="123"/>
      <c r="N59" s="124"/>
      <c r="O59" s="123"/>
      <c r="P59" s="124"/>
      <c r="Q59" s="123"/>
      <c r="R59" s="124"/>
      <c r="S59" s="123"/>
      <c r="T59" s="187"/>
      <c r="U59" s="170"/>
      <c r="V59" s="193"/>
    </row>
    <row r="60" spans="1:22" ht="21.6" customHeight="1">
      <c r="A60" s="260">
        <v>4620748863277</v>
      </c>
      <c r="B60" s="208"/>
      <c r="C60" s="228"/>
      <c r="D60" s="29" t="s">
        <v>2584</v>
      </c>
      <c r="E60" s="143"/>
      <c r="F60" s="168"/>
      <c r="G60" s="184"/>
      <c r="H60" s="186"/>
      <c r="I60" s="122"/>
      <c r="J60" s="124"/>
      <c r="K60" s="123"/>
      <c r="L60" s="124"/>
      <c r="M60" s="123"/>
      <c r="N60" s="124"/>
      <c r="O60" s="123"/>
      <c r="P60" s="124"/>
      <c r="Q60" s="123"/>
      <c r="R60" s="124"/>
      <c r="S60" s="123"/>
      <c r="T60" s="187"/>
      <c r="U60" s="170"/>
      <c r="V60" s="193"/>
    </row>
    <row r="61" spans="1:22" ht="21.6" customHeight="1">
      <c r="A61" s="260">
        <v>4627101820571</v>
      </c>
      <c r="B61" s="208"/>
      <c r="C61" s="228"/>
      <c r="D61" s="29" t="s">
        <v>2577</v>
      </c>
      <c r="E61" s="143"/>
      <c r="F61" s="168"/>
      <c r="G61" s="184"/>
      <c r="H61" s="186"/>
      <c r="I61" s="122"/>
      <c r="J61" s="124"/>
      <c r="K61" s="123"/>
      <c r="L61" s="124"/>
      <c r="M61" s="123"/>
      <c r="N61" s="124"/>
      <c r="O61" s="123"/>
      <c r="P61" s="124"/>
      <c r="Q61" s="123"/>
      <c r="R61" s="124"/>
      <c r="S61" s="123"/>
      <c r="T61" s="187"/>
      <c r="U61" s="170"/>
      <c r="V61" s="193"/>
    </row>
    <row r="62" spans="1:22" ht="19.5" customHeight="1">
      <c r="A62" s="260">
        <v>4627101820588</v>
      </c>
      <c r="B62" s="208"/>
      <c r="C62" s="228"/>
      <c r="D62" s="29" t="s">
        <v>2578</v>
      </c>
      <c r="E62" s="143"/>
      <c r="F62" s="168"/>
      <c r="G62" s="184"/>
      <c r="H62" s="186"/>
      <c r="I62" s="122"/>
      <c r="J62" s="124"/>
      <c r="K62" s="123"/>
      <c r="L62" s="124"/>
      <c r="M62" s="123"/>
      <c r="N62" s="124"/>
      <c r="O62" s="123"/>
      <c r="P62" s="124"/>
      <c r="Q62" s="123"/>
      <c r="R62" s="124"/>
      <c r="S62" s="123"/>
      <c r="T62" s="187"/>
      <c r="U62" s="170"/>
      <c r="V62" s="193"/>
    </row>
    <row r="63" spans="1:22" s="4" customFormat="1" ht="18.75" hidden="1" customHeight="1">
      <c r="A63" s="63"/>
      <c r="B63" s="217"/>
      <c r="C63" s="18">
        <v>3403</v>
      </c>
      <c r="D63" s="62" t="s">
        <v>2585</v>
      </c>
      <c r="E63" s="145"/>
      <c r="F63" s="188"/>
      <c r="G63" s="189"/>
      <c r="H63" s="103">
        <v>385</v>
      </c>
      <c r="I63" s="163">
        <f>H63*F63</f>
        <v>0</v>
      </c>
      <c r="J63" s="102">
        <v>405</v>
      </c>
      <c r="K63" s="190">
        <f>J63*F63</f>
        <v>0</v>
      </c>
      <c r="L63" s="102">
        <v>424</v>
      </c>
      <c r="M63" s="190">
        <f>L63*F63</f>
        <v>0</v>
      </c>
      <c r="N63" s="102">
        <v>443</v>
      </c>
      <c r="O63" s="190">
        <f>N63*F63</f>
        <v>0</v>
      </c>
      <c r="P63" s="102"/>
      <c r="Q63" s="190"/>
      <c r="R63" s="102"/>
      <c r="S63" s="190"/>
      <c r="T63" s="191"/>
      <c r="U63" s="192"/>
      <c r="V63" s="193">
        <v>700</v>
      </c>
    </row>
    <row r="64" spans="1:22" s="4" customFormat="1" ht="18.75" hidden="1" customHeight="1">
      <c r="A64" s="63"/>
      <c r="B64" s="217"/>
      <c r="C64" s="18"/>
      <c r="D64" s="38" t="s">
        <v>2586</v>
      </c>
      <c r="E64" s="146"/>
      <c r="F64" s="189"/>
      <c r="G64" s="168"/>
      <c r="H64" s="103"/>
      <c r="I64" s="163"/>
      <c r="J64" s="102"/>
      <c r="K64" s="190"/>
      <c r="L64" s="102"/>
      <c r="M64" s="190"/>
      <c r="N64" s="102"/>
      <c r="O64" s="190"/>
      <c r="P64" s="102"/>
      <c r="Q64" s="190"/>
      <c r="R64" s="102"/>
      <c r="S64" s="190"/>
      <c r="T64" s="191"/>
      <c r="U64" s="192"/>
      <c r="V64" s="193"/>
    </row>
    <row r="65" spans="1:22" s="4" customFormat="1" ht="18.75" hidden="1" customHeight="1">
      <c r="A65" s="63"/>
      <c r="B65" s="217"/>
      <c r="C65" s="18"/>
      <c r="D65" s="38" t="s">
        <v>2587</v>
      </c>
      <c r="E65" s="146"/>
      <c r="F65" s="189"/>
      <c r="G65" s="189"/>
      <c r="H65" s="103"/>
      <c r="I65" s="163"/>
      <c r="J65" s="102"/>
      <c r="K65" s="190"/>
      <c r="L65" s="102"/>
      <c r="M65" s="190"/>
      <c r="N65" s="102"/>
      <c r="O65" s="190"/>
      <c r="P65" s="102"/>
      <c r="Q65" s="190"/>
      <c r="R65" s="102"/>
      <c r="S65" s="190"/>
      <c r="T65" s="191"/>
      <c r="U65" s="192"/>
      <c r="V65" s="193"/>
    </row>
    <row r="66" spans="1:22" s="4" customFormat="1" ht="18.75" hidden="1" customHeight="1">
      <c r="A66" s="63"/>
      <c r="B66" s="217"/>
      <c r="C66" s="18"/>
      <c r="D66" s="38" t="s">
        <v>2588</v>
      </c>
      <c r="E66" s="146"/>
      <c r="F66" s="189"/>
      <c r="G66" s="189"/>
      <c r="H66" s="103"/>
      <c r="I66" s="163"/>
      <c r="J66" s="102"/>
      <c r="K66" s="190"/>
      <c r="L66" s="102"/>
      <c r="M66" s="190"/>
      <c r="N66" s="102"/>
      <c r="O66" s="190"/>
      <c r="P66" s="102"/>
      <c r="Q66" s="190"/>
      <c r="R66" s="102"/>
      <c r="S66" s="190"/>
      <c r="T66" s="191"/>
      <c r="U66" s="192"/>
      <c r="V66" s="193"/>
    </row>
    <row r="67" spans="1:22" s="4" customFormat="1" ht="18.75" hidden="1" customHeight="1">
      <c r="A67" s="63"/>
      <c r="B67" s="217"/>
      <c r="C67" s="18"/>
      <c r="D67" s="38"/>
      <c r="E67" s="146"/>
      <c r="F67" s="189"/>
      <c r="G67" s="189"/>
      <c r="H67" s="103"/>
      <c r="I67" s="163"/>
      <c r="J67" s="102"/>
      <c r="K67" s="190"/>
      <c r="L67" s="102"/>
      <c r="M67" s="190"/>
      <c r="N67" s="102"/>
      <c r="O67" s="190"/>
      <c r="P67" s="102"/>
      <c r="Q67" s="190"/>
      <c r="R67" s="102"/>
      <c r="S67" s="190"/>
      <c r="T67" s="191"/>
      <c r="U67" s="192"/>
      <c r="V67" s="193"/>
    </row>
    <row r="68" spans="1:22" s="4" customFormat="1" ht="18.75" hidden="1" customHeight="1">
      <c r="A68" s="63"/>
      <c r="B68" s="217"/>
      <c r="C68" s="18">
        <v>3398</v>
      </c>
      <c r="D68" s="62" t="s">
        <v>2589</v>
      </c>
      <c r="E68" s="145"/>
      <c r="F68" s="188"/>
      <c r="G68" s="189"/>
      <c r="H68" s="103">
        <v>385</v>
      </c>
      <c r="I68" s="163">
        <f>H68*F68</f>
        <v>0</v>
      </c>
      <c r="J68" s="102">
        <v>405</v>
      </c>
      <c r="K68" s="190">
        <f>J68*F68</f>
        <v>0</v>
      </c>
      <c r="L68" s="102">
        <v>424</v>
      </c>
      <c r="M68" s="190">
        <f>L68*F68</f>
        <v>0</v>
      </c>
      <c r="N68" s="102">
        <v>443</v>
      </c>
      <c r="O68" s="190">
        <f>N68*F68</f>
        <v>0</v>
      </c>
      <c r="P68" s="102"/>
      <c r="Q68" s="190"/>
      <c r="R68" s="102"/>
      <c r="S68" s="190"/>
      <c r="T68" s="194"/>
      <c r="U68" s="195"/>
      <c r="V68" s="193">
        <v>700</v>
      </c>
    </row>
    <row r="69" spans="1:22" s="4" customFormat="1" ht="18.75" hidden="1" customHeight="1">
      <c r="A69" s="63"/>
      <c r="B69" s="217"/>
      <c r="C69" s="18"/>
      <c r="D69" s="38" t="s">
        <v>2590</v>
      </c>
      <c r="E69" s="146"/>
      <c r="F69" s="189"/>
      <c r="G69" s="189"/>
      <c r="H69" s="103"/>
      <c r="I69" s="163"/>
      <c r="J69" s="102"/>
      <c r="K69" s="190"/>
      <c r="L69" s="102"/>
      <c r="M69" s="190"/>
      <c r="N69" s="102"/>
      <c r="O69" s="190"/>
      <c r="P69" s="102"/>
      <c r="Q69" s="190"/>
      <c r="R69" s="102"/>
      <c r="S69" s="190"/>
      <c r="T69" s="194"/>
      <c r="U69" s="195"/>
      <c r="V69" s="193"/>
    </row>
    <row r="70" spans="1:22" s="4" customFormat="1" ht="18.75" hidden="1" customHeight="1">
      <c r="A70" s="63"/>
      <c r="B70" s="217"/>
      <c r="C70" s="18"/>
      <c r="D70" s="38" t="s">
        <v>2591</v>
      </c>
      <c r="E70" s="146"/>
      <c r="F70" s="189"/>
      <c r="G70" s="189"/>
      <c r="H70" s="103"/>
      <c r="I70" s="163"/>
      <c r="J70" s="102"/>
      <c r="K70" s="190"/>
      <c r="L70" s="102"/>
      <c r="M70" s="190"/>
      <c r="N70" s="102"/>
      <c r="O70" s="190"/>
      <c r="P70" s="102"/>
      <c r="Q70" s="190"/>
      <c r="R70" s="102"/>
      <c r="S70" s="190"/>
      <c r="T70" s="194"/>
      <c r="U70" s="195"/>
      <c r="V70" s="193"/>
    </row>
    <row r="71" spans="1:22" s="4" customFormat="1" ht="18.75" hidden="1" customHeight="1">
      <c r="A71" s="63"/>
      <c r="B71" s="217"/>
      <c r="C71" s="18"/>
      <c r="D71" s="38" t="s">
        <v>2592</v>
      </c>
      <c r="E71" s="146"/>
      <c r="F71" s="189"/>
      <c r="G71" s="189"/>
      <c r="H71" s="103"/>
      <c r="I71" s="163"/>
      <c r="J71" s="102"/>
      <c r="K71" s="190"/>
      <c r="L71" s="102"/>
      <c r="M71" s="190"/>
      <c r="N71" s="102"/>
      <c r="O71" s="190"/>
      <c r="P71" s="102"/>
      <c r="Q71" s="190"/>
      <c r="R71" s="102"/>
      <c r="S71" s="190"/>
      <c r="T71" s="194"/>
      <c r="U71" s="195"/>
      <c r="V71" s="193"/>
    </row>
    <row r="72" spans="1:22" s="4" customFormat="1" ht="18.75" hidden="1" customHeight="1">
      <c r="A72" s="63"/>
      <c r="B72" s="217"/>
      <c r="C72" s="18"/>
      <c r="D72" s="38"/>
      <c r="E72" s="146"/>
      <c r="F72" s="189"/>
      <c r="G72" s="189"/>
      <c r="H72" s="103"/>
      <c r="I72" s="163"/>
      <c r="J72" s="102"/>
      <c r="K72" s="190"/>
      <c r="L72" s="102"/>
      <c r="M72" s="190"/>
      <c r="N72" s="102"/>
      <c r="O72" s="190"/>
      <c r="P72" s="102"/>
      <c r="Q72" s="190"/>
      <c r="R72" s="102"/>
      <c r="S72" s="190"/>
      <c r="T72" s="194"/>
      <c r="U72" s="195"/>
      <c r="V72" s="193"/>
    </row>
    <row r="73" spans="1:22" s="4" customFormat="1" ht="18.75" hidden="1" customHeight="1">
      <c r="A73" s="63"/>
      <c r="B73" s="217"/>
      <c r="C73" s="18">
        <v>3397</v>
      </c>
      <c r="D73" s="62" t="s">
        <v>2593</v>
      </c>
      <c r="E73" s="145"/>
      <c r="F73" s="188"/>
      <c r="G73" s="189"/>
      <c r="H73" s="103">
        <v>375</v>
      </c>
      <c r="I73" s="163">
        <f>H73*F73</f>
        <v>0</v>
      </c>
      <c r="J73" s="102">
        <v>394</v>
      </c>
      <c r="K73" s="190">
        <f>J73*F73</f>
        <v>0</v>
      </c>
      <c r="L73" s="102">
        <v>413</v>
      </c>
      <c r="M73" s="190">
        <f>L73*F73</f>
        <v>0</v>
      </c>
      <c r="N73" s="102">
        <v>432</v>
      </c>
      <c r="O73" s="190">
        <f>N73*F73</f>
        <v>0</v>
      </c>
      <c r="P73" s="102"/>
      <c r="Q73" s="190"/>
      <c r="R73" s="102"/>
      <c r="S73" s="190"/>
      <c r="T73" s="194"/>
      <c r="U73" s="195"/>
      <c r="V73" s="193">
        <v>685</v>
      </c>
    </row>
    <row r="74" spans="1:22" s="4" customFormat="1" ht="18.75" hidden="1" customHeight="1">
      <c r="A74" s="63"/>
      <c r="B74" s="217"/>
      <c r="C74" s="18"/>
      <c r="D74" s="38" t="s">
        <v>2594</v>
      </c>
      <c r="E74" s="146"/>
      <c r="F74" s="189"/>
      <c r="G74" s="189"/>
      <c r="H74" s="103"/>
      <c r="I74" s="163"/>
      <c r="J74" s="102"/>
      <c r="K74" s="190"/>
      <c r="L74" s="102"/>
      <c r="M74" s="190"/>
      <c r="N74" s="102"/>
      <c r="O74" s="190"/>
      <c r="P74" s="102"/>
      <c r="Q74" s="190"/>
      <c r="R74" s="102"/>
      <c r="S74" s="190"/>
      <c r="T74" s="194"/>
      <c r="U74" s="195"/>
      <c r="V74" s="193"/>
    </row>
    <row r="75" spans="1:22" s="4" customFormat="1" ht="18.75" hidden="1" customHeight="1">
      <c r="A75" s="63"/>
      <c r="B75" s="217"/>
      <c r="C75" s="18"/>
      <c r="D75" s="38" t="s">
        <v>2595</v>
      </c>
      <c r="E75" s="146"/>
      <c r="F75" s="189"/>
      <c r="G75" s="189"/>
      <c r="H75" s="103"/>
      <c r="I75" s="163"/>
      <c r="J75" s="102"/>
      <c r="K75" s="190"/>
      <c r="L75" s="102"/>
      <c r="M75" s="190"/>
      <c r="N75" s="102"/>
      <c r="O75" s="190"/>
      <c r="P75" s="102"/>
      <c r="Q75" s="190"/>
      <c r="R75" s="102"/>
      <c r="S75" s="190"/>
      <c r="T75" s="194"/>
      <c r="U75" s="195"/>
      <c r="V75" s="193"/>
    </row>
    <row r="76" spans="1:22" s="4" customFormat="1" ht="18.75" hidden="1" customHeight="1">
      <c r="A76" s="63"/>
      <c r="B76" s="217"/>
      <c r="C76" s="18"/>
      <c r="D76" s="38" t="s">
        <v>2596</v>
      </c>
      <c r="E76" s="146"/>
      <c r="F76" s="189"/>
      <c r="G76" s="189"/>
      <c r="H76" s="103"/>
      <c r="I76" s="163"/>
      <c r="J76" s="102"/>
      <c r="K76" s="190"/>
      <c r="L76" s="102"/>
      <c r="M76" s="190"/>
      <c r="N76" s="102"/>
      <c r="O76" s="190"/>
      <c r="P76" s="102"/>
      <c r="Q76" s="190"/>
      <c r="R76" s="102"/>
      <c r="S76" s="190"/>
      <c r="T76" s="194"/>
      <c r="U76" s="195"/>
      <c r="V76" s="193"/>
    </row>
    <row r="77" spans="1:22" s="4" customFormat="1" ht="18.75" hidden="1" customHeight="1">
      <c r="A77" s="63"/>
      <c r="B77" s="217"/>
      <c r="C77" s="18"/>
      <c r="D77" s="38"/>
      <c r="E77" s="146"/>
      <c r="F77" s="189"/>
      <c r="G77" s="189"/>
      <c r="H77" s="103"/>
      <c r="I77" s="163"/>
      <c r="J77" s="102"/>
      <c r="K77" s="190"/>
      <c r="L77" s="102"/>
      <c r="M77" s="190"/>
      <c r="N77" s="102"/>
      <c r="O77" s="190"/>
      <c r="P77" s="102"/>
      <c r="Q77" s="190"/>
      <c r="R77" s="102"/>
      <c r="S77" s="190"/>
      <c r="T77" s="194"/>
      <c r="U77" s="195"/>
      <c r="V77" s="193"/>
    </row>
    <row r="78" spans="1:22" s="4" customFormat="1" ht="18.75" hidden="1" customHeight="1">
      <c r="A78" s="63"/>
      <c r="B78" s="217"/>
      <c r="C78" s="18">
        <v>3399</v>
      </c>
      <c r="D78" s="62" t="s">
        <v>2597</v>
      </c>
      <c r="E78" s="145"/>
      <c r="F78" s="188"/>
      <c r="G78" s="189"/>
      <c r="H78" s="103">
        <v>430</v>
      </c>
      <c r="I78" s="163">
        <f>H78*F78</f>
        <v>0</v>
      </c>
      <c r="J78" s="102">
        <v>452</v>
      </c>
      <c r="K78" s="190">
        <f>J78*F78</f>
        <v>0</v>
      </c>
      <c r="L78" s="102">
        <v>473</v>
      </c>
      <c r="M78" s="190">
        <f>L78*F78</f>
        <v>0</v>
      </c>
      <c r="N78" s="102">
        <v>495</v>
      </c>
      <c r="O78" s="190">
        <f>N78*F78</f>
        <v>0</v>
      </c>
      <c r="P78" s="102"/>
      <c r="Q78" s="190"/>
      <c r="R78" s="102"/>
      <c r="S78" s="190"/>
      <c r="T78" s="194"/>
      <c r="U78" s="195"/>
      <c r="V78" s="193">
        <v>790</v>
      </c>
    </row>
    <row r="79" spans="1:22" s="4" customFormat="1" ht="18.75" hidden="1" customHeight="1">
      <c r="A79" s="63"/>
      <c r="B79" s="217"/>
      <c r="C79" s="18"/>
      <c r="D79" s="38" t="s">
        <v>2598</v>
      </c>
      <c r="E79" s="146"/>
      <c r="F79" s="189"/>
      <c r="G79" s="189"/>
      <c r="H79" s="103"/>
      <c r="I79" s="163"/>
      <c r="J79" s="102"/>
      <c r="K79" s="190"/>
      <c r="L79" s="102"/>
      <c r="M79" s="190"/>
      <c r="N79" s="102"/>
      <c r="O79" s="190"/>
      <c r="P79" s="102"/>
      <c r="Q79" s="190"/>
      <c r="R79" s="102"/>
      <c r="S79" s="190"/>
      <c r="T79" s="194"/>
      <c r="U79" s="195"/>
      <c r="V79" s="193"/>
    </row>
    <row r="80" spans="1:22" s="4" customFormat="1" ht="18.75" hidden="1" customHeight="1">
      <c r="A80" s="63"/>
      <c r="B80" s="217"/>
      <c r="C80" s="18"/>
      <c r="D80" s="38" t="s">
        <v>136</v>
      </c>
      <c r="E80" s="146"/>
      <c r="F80" s="189"/>
      <c r="G80" s="189"/>
      <c r="H80" s="103"/>
      <c r="I80" s="163"/>
      <c r="J80" s="102"/>
      <c r="K80" s="190"/>
      <c r="L80" s="102"/>
      <c r="M80" s="190"/>
      <c r="N80" s="102"/>
      <c r="O80" s="190"/>
      <c r="P80" s="102"/>
      <c r="Q80" s="190"/>
      <c r="R80" s="102"/>
      <c r="S80" s="190"/>
      <c r="T80" s="194"/>
      <c r="U80" s="195"/>
      <c r="V80" s="193"/>
    </row>
    <row r="81" spans="1:22" s="4" customFormat="1" ht="18.75" hidden="1" customHeight="1">
      <c r="A81" s="63"/>
      <c r="B81" s="217"/>
      <c r="C81" s="18"/>
      <c r="D81" s="38" t="s">
        <v>2592</v>
      </c>
      <c r="E81" s="146"/>
      <c r="F81" s="189"/>
      <c r="G81" s="189"/>
      <c r="H81" s="103"/>
      <c r="I81" s="163"/>
      <c r="J81" s="102"/>
      <c r="K81" s="190"/>
      <c r="L81" s="102"/>
      <c r="M81" s="190"/>
      <c r="N81" s="102"/>
      <c r="O81" s="190"/>
      <c r="P81" s="102"/>
      <c r="Q81" s="190"/>
      <c r="R81" s="102"/>
      <c r="S81" s="190"/>
      <c r="T81" s="194"/>
      <c r="U81" s="195"/>
      <c r="V81" s="193"/>
    </row>
    <row r="82" spans="1:22" s="4" customFormat="1" ht="18.75" hidden="1" customHeight="1">
      <c r="A82" s="63"/>
      <c r="B82" s="217"/>
      <c r="C82" s="18"/>
      <c r="D82" s="38"/>
      <c r="E82" s="146"/>
      <c r="F82" s="189"/>
      <c r="G82" s="189"/>
      <c r="H82" s="103"/>
      <c r="I82" s="163"/>
      <c r="J82" s="102"/>
      <c r="K82" s="190"/>
      <c r="L82" s="102"/>
      <c r="M82" s="190"/>
      <c r="N82" s="102"/>
      <c r="O82" s="190"/>
      <c r="P82" s="102"/>
      <c r="Q82" s="190"/>
      <c r="R82" s="102"/>
      <c r="S82" s="190"/>
      <c r="T82" s="194"/>
      <c r="U82" s="195"/>
      <c r="V82" s="193"/>
    </row>
    <row r="83" spans="1:22" s="4" customFormat="1" ht="18.75" hidden="1" customHeight="1">
      <c r="A83" s="63"/>
      <c r="B83" s="217"/>
      <c r="C83" s="18">
        <v>3400</v>
      </c>
      <c r="D83" s="62" t="s">
        <v>2599</v>
      </c>
      <c r="E83" s="145"/>
      <c r="F83" s="188"/>
      <c r="G83" s="189"/>
      <c r="H83" s="103">
        <v>430</v>
      </c>
      <c r="I83" s="163">
        <f>H83*F83</f>
        <v>0</v>
      </c>
      <c r="J83" s="102">
        <v>452</v>
      </c>
      <c r="K83" s="190">
        <f>J83*F83</f>
        <v>0</v>
      </c>
      <c r="L83" s="102">
        <v>473</v>
      </c>
      <c r="M83" s="190">
        <f>L83*F83</f>
        <v>0</v>
      </c>
      <c r="N83" s="102">
        <v>495</v>
      </c>
      <c r="O83" s="190">
        <f>N83*F83</f>
        <v>0</v>
      </c>
      <c r="P83" s="102"/>
      <c r="Q83" s="190"/>
      <c r="R83" s="102"/>
      <c r="S83" s="190"/>
      <c r="T83" s="194"/>
      <c r="U83" s="195"/>
      <c r="V83" s="193">
        <v>790</v>
      </c>
    </row>
    <row r="84" spans="1:22" s="4" customFormat="1" ht="18.75" hidden="1" customHeight="1">
      <c r="A84" s="63"/>
      <c r="B84" s="217"/>
      <c r="C84" s="18"/>
      <c r="D84" s="38" t="s">
        <v>2600</v>
      </c>
      <c r="E84" s="146"/>
      <c r="F84" s="189"/>
      <c r="G84" s="189"/>
      <c r="H84" s="103"/>
      <c r="I84" s="163"/>
      <c r="J84" s="102"/>
      <c r="K84" s="190"/>
      <c r="L84" s="102"/>
      <c r="M84" s="190"/>
      <c r="N84" s="102"/>
      <c r="O84" s="190"/>
      <c r="P84" s="102"/>
      <c r="Q84" s="190"/>
      <c r="R84" s="102"/>
      <c r="S84" s="190"/>
      <c r="T84" s="194"/>
      <c r="U84" s="195"/>
      <c r="V84" s="193"/>
    </row>
    <row r="85" spans="1:22" s="4" customFormat="1" ht="18.75" hidden="1" customHeight="1">
      <c r="A85" s="63"/>
      <c r="B85" s="217"/>
      <c r="C85" s="18"/>
      <c r="D85" s="38" t="s">
        <v>135</v>
      </c>
      <c r="E85" s="146"/>
      <c r="F85" s="189"/>
      <c r="G85" s="189"/>
      <c r="H85" s="103"/>
      <c r="I85" s="163"/>
      <c r="J85" s="102"/>
      <c r="K85" s="190"/>
      <c r="L85" s="102"/>
      <c r="M85" s="190"/>
      <c r="N85" s="102"/>
      <c r="O85" s="190"/>
      <c r="P85" s="102"/>
      <c r="Q85" s="190"/>
      <c r="R85" s="102"/>
      <c r="S85" s="190"/>
      <c r="T85" s="194"/>
      <c r="U85" s="195"/>
      <c r="V85" s="193"/>
    </row>
    <row r="86" spans="1:22" s="4" customFormat="1" ht="18.75" hidden="1" customHeight="1">
      <c r="A86" s="63"/>
      <c r="B86" s="217"/>
      <c r="C86" s="18"/>
      <c r="D86" s="38" t="s">
        <v>2592</v>
      </c>
      <c r="E86" s="146"/>
      <c r="F86" s="189"/>
      <c r="G86" s="189"/>
      <c r="H86" s="103"/>
      <c r="I86" s="163"/>
      <c r="J86" s="102"/>
      <c r="K86" s="190"/>
      <c r="L86" s="102"/>
      <c r="M86" s="190"/>
      <c r="N86" s="102"/>
      <c r="O86" s="190"/>
      <c r="P86" s="102"/>
      <c r="Q86" s="190"/>
      <c r="R86" s="102"/>
      <c r="S86" s="190"/>
      <c r="T86" s="194"/>
      <c r="U86" s="195"/>
      <c r="V86" s="193"/>
    </row>
    <row r="87" spans="1:22" s="4" customFormat="1" ht="18.75" hidden="1" customHeight="1">
      <c r="A87" s="63"/>
      <c r="B87" s="217"/>
      <c r="C87" s="18"/>
      <c r="D87" s="38"/>
      <c r="E87" s="146"/>
      <c r="F87" s="189"/>
      <c r="G87" s="189"/>
      <c r="H87" s="103"/>
      <c r="I87" s="163"/>
      <c r="J87" s="102"/>
      <c r="K87" s="190"/>
      <c r="L87" s="102"/>
      <c r="M87" s="190"/>
      <c r="N87" s="102"/>
      <c r="O87" s="190"/>
      <c r="P87" s="102"/>
      <c r="Q87" s="190"/>
      <c r="R87" s="102"/>
      <c r="S87" s="190"/>
      <c r="T87" s="194"/>
      <c r="U87" s="195"/>
      <c r="V87" s="193"/>
    </row>
    <row r="88" spans="1:22" s="4" customFormat="1" ht="18.75" hidden="1" customHeight="1">
      <c r="A88" s="63"/>
      <c r="B88" s="217"/>
      <c r="C88" s="18">
        <v>3401</v>
      </c>
      <c r="D88" s="62" t="s">
        <v>2601</v>
      </c>
      <c r="E88" s="145"/>
      <c r="F88" s="188"/>
      <c r="G88" s="189"/>
      <c r="H88" s="103">
        <v>430</v>
      </c>
      <c r="I88" s="163">
        <f>H88*F88</f>
        <v>0</v>
      </c>
      <c r="J88" s="102">
        <v>452</v>
      </c>
      <c r="K88" s="190">
        <f>J88*F88</f>
        <v>0</v>
      </c>
      <c r="L88" s="102">
        <v>473</v>
      </c>
      <c r="M88" s="190">
        <f>L88*F88</f>
        <v>0</v>
      </c>
      <c r="N88" s="102">
        <v>495</v>
      </c>
      <c r="O88" s="190">
        <f>N88*F88</f>
        <v>0</v>
      </c>
      <c r="P88" s="102"/>
      <c r="Q88" s="190"/>
      <c r="R88" s="102"/>
      <c r="S88" s="190"/>
      <c r="T88" s="194"/>
      <c r="U88" s="195"/>
      <c r="V88" s="193">
        <v>790</v>
      </c>
    </row>
    <row r="89" spans="1:22" s="4" customFormat="1" ht="18.75" hidden="1" customHeight="1">
      <c r="A89" s="63"/>
      <c r="B89" s="217"/>
      <c r="C89" s="18"/>
      <c r="D89" s="38" t="s">
        <v>2602</v>
      </c>
      <c r="E89" s="146"/>
      <c r="F89" s="189"/>
      <c r="G89" s="189"/>
      <c r="H89" s="103"/>
      <c r="I89" s="163"/>
      <c r="J89" s="102"/>
      <c r="K89" s="190"/>
      <c r="L89" s="102"/>
      <c r="M89" s="190"/>
      <c r="N89" s="102"/>
      <c r="O89" s="190"/>
      <c r="P89" s="102"/>
      <c r="Q89" s="190"/>
      <c r="R89" s="102"/>
      <c r="S89" s="190"/>
      <c r="T89" s="194"/>
      <c r="U89" s="195"/>
      <c r="V89" s="193"/>
    </row>
    <row r="90" spans="1:22" s="4" customFormat="1" ht="18.75" hidden="1" customHeight="1">
      <c r="A90" s="63"/>
      <c r="B90" s="217"/>
      <c r="C90" s="18"/>
      <c r="D90" s="38" t="s">
        <v>131</v>
      </c>
      <c r="E90" s="146"/>
      <c r="F90" s="189"/>
      <c r="G90" s="189"/>
      <c r="H90" s="103"/>
      <c r="I90" s="163"/>
      <c r="J90" s="102"/>
      <c r="K90" s="190"/>
      <c r="L90" s="102"/>
      <c r="M90" s="190"/>
      <c r="N90" s="102"/>
      <c r="O90" s="190"/>
      <c r="P90" s="102"/>
      <c r="Q90" s="190"/>
      <c r="R90" s="102"/>
      <c r="S90" s="190"/>
      <c r="T90" s="194"/>
      <c r="U90" s="195"/>
      <c r="V90" s="193"/>
    </row>
    <row r="91" spans="1:22" s="4" customFormat="1" ht="18.75" hidden="1" customHeight="1">
      <c r="A91" s="63"/>
      <c r="B91" s="217"/>
      <c r="C91" s="18"/>
      <c r="D91" s="38" t="s">
        <v>2588</v>
      </c>
      <c r="E91" s="146"/>
      <c r="F91" s="189"/>
      <c r="G91" s="189"/>
      <c r="H91" s="103"/>
      <c r="I91" s="163"/>
      <c r="J91" s="102"/>
      <c r="K91" s="190"/>
      <c r="L91" s="102"/>
      <c r="M91" s="190"/>
      <c r="N91" s="102"/>
      <c r="O91" s="190"/>
      <c r="P91" s="102"/>
      <c r="Q91" s="190"/>
      <c r="R91" s="102"/>
      <c r="S91" s="190"/>
      <c r="T91" s="194"/>
      <c r="U91" s="195"/>
      <c r="V91" s="193"/>
    </row>
    <row r="92" spans="1:22" s="4" customFormat="1" ht="18.75" hidden="1" customHeight="1">
      <c r="A92" s="63"/>
      <c r="B92" s="217"/>
      <c r="C92" s="18"/>
      <c r="D92" s="38"/>
      <c r="E92" s="146"/>
      <c r="F92" s="189"/>
      <c r="G92" s="189"/>
      <c r="H92" s="103"/>
      <c r="I92" s="163"/>
      <c r="J92" s="102"/>
      <c r="K92" s="190"/>
      <c r="L92" s="102"/>
      <c r="M92" s="190"/>
      <c r="N92" s="102"/>
      <c r="O92" s="190"/>
      <c r="P92" s="102"/>
      <c r="Q92" s="190"/>
      <c r="R92" s="102"/>
      <c r="S92" s="190"/>
      <c r="T92" s="194"/>
      <c r="U92" s="195"/>
      <c r="V92" s="193"/>
    </row>
    <row r="93" spans="1:22" s="4" customFormat="1" ht="18.75" hidden="1" customHeight="1">
      <c r="A93" s="63"/>
      <c r="B93" s="217"/>
      <c r="C93" s="18">
        <v>3402</v>
      </c>
      <c r="D93" s="62" t="s">
        <v>2603</v>
      </c>
      <c r="E93" s="145"/>
      <c r="F93" s="188"/>
      <c r="G93" s="189"/>
      <c r="H93" s="103">
        <v>430</v>
      </c>
      <c r="I93" s="163">
        <f>H93*F93</f>
        <v>0</v>
      </c>
      <c r="J93" s="102">
        <v>452</v>
      </c>
      <c r="K93" s="190">
        <f>J93*F93</f>
        <v>0</v>
      </c>
      <c r="L93" s="102">
        <v>473</v>
      </c>
      <c r="M93" s="190">
        <f>L93*F93</f>
        <v>0</v>
      </c>
      <c r="N93" s="102">
        <v>495</v>
      </c>
      <c r="O93" s="190">
        <f>N93*F93</f>
        <v>0</v>
      </c>
      <c r="P93" s="102"/>
      <c r="Q93" s="190"/>
      <c r="R93" s="102"/>
      <c r="S93" s="190"/>
      <c r="T93" s="194"/>
      <c r="U93" s="195"/>
      <c r="V93" s="193">
        <v>790</v>
      </c>
    </row>
    <row r="94" spans="1:22" s="4" customFormat="1" ht="18.75" hidden="1" customHeight="1">
      <c r="A94" s="63"/>
      <c r="B94" s="217"/>
      <c r="C94" s="18"/>
      <c r="D94" s="38" t="s">
        <v>2604</v>
      </c>
      <c r="E94" s="146"/>
      <c r="F94" s="189"/>
      <c r="G94" s="189"/>
      <c r="H94" s="103"/>
      <c r="I94" s="163"/>
      <c r="J94" s="102"/>
      <c r="K94" s="190"/>
      <c r="L94" s="102"/>
      <c r="M94" s="190"/>
      <c r="N94" s="102"/>
      <c r="O94" s="190"/>
      <c r="P94" s="102"/>
      <c r="Q94" s="190"/>
      <c r="R94" s="102"/>
      <c r="S94" s="190"/>
      <c r="T94" s="194"/>
      <c r="U94" s="195"/>
      <c r="V94" s="193"/>
    </row>
    <row r="95" spans="1:22" s="4" customFormat="1" ht="18.75" hidden="1" customHeight="1">
      <c r="A95" s="63"/>
      <c r="B95" s="217"/>
      <c r="C95" s="18"/>
      <c r="D95" s="38" t="s">
        <v>133</v>
      </c>
      <c r="E95" s="146"/>
      <c r="F95" s="189"/>
      <c r="G95" s="189"/>
      <c r="H95" s="103"/>
      <c r="I95" s="163"/>
      <c r="J95" s="102"/>
      <c r="K95" s="190"/>
      <c r="L95" s="102"/>
      <c r="M95" s="190"/>
      <c r="N95" s="102"/>
      <c r="O95" s="190"/>
      <c r="P95" s="102"/>
      <c r="Q95" s="190"/>
      <c r="R95" s="102"/>
      <c r="S95" s="190"/>
      <c r="T95" s="194"/>
      <c r="U95" s="195"/>
      <c r="V95" s="193"/>
    </row>
    <row r="96" spans="1:22" s="4" customFormat="1" ht="18.75" hidden="1" customHeight="1">
      <c r="A96" s="63"/>
      <c r="B96" s="217"/>
      <c r="C96" s="18"/>
      <c r="D96" s="38" t="s">
        <v>2596</v>
      </c>
      <c r="E96" s="146"/>
      <c r="F96" s="189"/>
      <c r="G96" s="189"/>
      <c r="H96" s="103"/>
      <c r="I96" s="163"/>
      <c r="J96" s="102"/>
      <c r="K96" s="190"/>
      <c r="L96" s="102"/>
      <c r="M96" s="190"/>
      <c r="N96" s="102"/>
      <c r="O96" s="190"/>
      <c r="P96" s="102"/>
      <c r="Q96" s="190"/>
      <c r="R96" s="102"/>
      <c r="S96" s="190"/>
      <c r="T96" s="194"/>
      <c r="U96" s="195"/>
      <c r="V96" s="193"/>
    </row>
    <row r="97" spans="2:22" ht="21" hidden="1" customHeight="1">
      <c r="C97" s="21"/>
      <c r="D97" s="65"/>
      <c r="E97" s="66"/>
      <c r="F97" s="189"/>
      <c r="G97" s="196"/>
      <c r="H97" s="197"/>
      <c r="I97" s="164"/>
      <c r="J97" s="102"/>
      <c r="K97" s="198"/>
      <c r="L97" s="102"/>
      <c r="M97" s="198"/>
      <c r="N97" s="102"/>
      <c r="O97" s="198"/>
      <c r="P97" s="102"/>
      <c r="Q97" s="198"/>
      <c r="R97" s="102"/>
      <c r="S97" s="198"/>
      <c r="T97" s="199"/>
      <c r="U97" s="200"/>
      <c r="V97" s="193"/>
    </row>
    <row r="98" spans="2:22" ht="21" hidden="1" customHeight="1">
      <c r="C98" s="18">
        <v>3475</v>
      </c>
      <c r="D98" s="67" t="s">
        <v>2605</v>
      </c>
      <c r="E98" s="147"/>
      <c r="F98" s="188"/>
      <c r="G98" s="189"/>
      <c r="H98" s="103">
        <v>445</v>
      </c>
      <c r="I98" s="163">
        <f>H98*F98</f>
        <v>0</v>
      </c>
      <c r="J98" s="102"/>
      <c r="K98" s="190"/>
      <c r="L98" s="102"/>
      <c r="M98" s="190"/>
      <c r="N98" s="102"/>
      <c r="O98" s="190"/>
      <c r="P98" s="102"/>
      <c r="Q98" s="190"/>
      <c r="R98" s="102"/>
      <c r="S98" s="190"/>
      <c r="T98" s="194"/>
      <c r="U98" s="195"/>
      <c r="V98" s="193">
        <v>820</v>
      </c>
    </row>
    <row r="99" spans="2:22" ht="30" hidden="1" customHeight="1">
      <c r="C99" s="18"/>
      <c r="D99" s="29" t="s">
        <v>1197</v>
      </c>
      <c r="E99" s="148"/>
      <c r="F99" s="189"/>
      <c r="G99" s="103"/>
      <c r="H99" s="190"/>
      <c r="I99" s="163"/>
      <c r="J99" s="102"/>
      <c r="K99" s="190"/>
      <c r="L99" s="102"/>
      <c r="M99" s="190"/>
      <c r="N99" s="102"/>
      <c r="O99" s="190"/>
      <c r="P99" s="102"/>
      <c r="Q99" s="190"/>
      <c r="R99" s="102"/>
      <c r="S99" s="190"/>
      <c r="T99" s="194"/>
      <c r="U99" s="195"/>
      <c r="V99" s="193"/>
    </row>
    <row r="100" spans="2:22" ht="26.25" hidden="1" customHeight="1">
      <c r="C100" s="18"/>
      <c r="D100" s="29" t="s">
        <v>2606</v>
      </c>
      <c r="E100" s="148"/>
      <c r="F100" s="189"/>
      <c r="G100" s="103"/>
      <c r="H100" s="190"/>
      <c r="I100" s="163"/>
      <c r="J100" s="102"/>
      <c r="K100" s="190"/>
      <c r="L100" s="102"/>
      <c r="M100" s="190"/>
      <c r="N100" s="102"/>
      <c r="O100" s="190"/>
      <c r="P100" s="102"/>
      <c r="Q100" s="190"/>
      <c r="R100" s="102"/>
      <c r="S100" s="190"/>
      <c r="T100" s="194"/>
      <c r="U100" s="195"/>
      <c r="V100" s="193"/>
    </row>
    <row r="101" spans="2:22" ht="21" hidden="1" customHeight="1">
      <c r="C101" s="18"/>
      <c r="D101" s="29" t="s">
        <v>2588</v>
      </c>
      <c r="E101" s="148"/>
      <c r="F101" s="189"/>
      <c r="G101" s="103"/>
      <c r="H101" s="190"/>
      <c r="I101" s="163"/>
      <c r="J101" s="102"/>
      <c r="K101" s="190"/>
      <c r="L101" s="102"/>
      <c r="M101" s="190"/>
      <c r="N101" s="102"/>
      <c r="O101" s="190"/>
      <c r="P101" s="102"/>
      <c r="Q101" s="190"/>
      <c r="R101" s="102"/>
      <c r="S101" s="190"/>
      <c r="T101" s="194"/>
      <c r="U101" s="195"/>
      <c r="V101" s="193"/>
    </row>
    <row r="102" spans="2:22" ht="21" hidden="1" customHeight="1">
      <c r="C102" s="3"/>
      <c r="D102" s="68"/>
      <c r="E102" s="66"/>
      <c r="F102" s="189"/>
      <c r="G102" s="103"/>
      <c r="H102" s="190"/>
      <c r="I102" s="163"/>
      <c r="J102" s="102"/>
      <c r="K102" s="190"/>
      <c r="L102" s="102"/>
      <c r="M102" s="190"/>
      <c r="N102" s="102"/>
      <c r="O102" s="190"/>
      <c r="P102" s="102"/>
      <c r="Q102" s="190"/>
      <c r="R102" s="102"/>
      <c r="S102" s="190"/>
      <c r="T102" s="194"/>
      <c r="U102" s="195"/>
      <c r="V102" s="193"/>
    </row>
    <row r="103" spans="2:22" ht="21" hidden="1" customHeight="1">
      <c r="C103" s="18">
        <v>3474</v>
      </c>
      <c r="D103" s="67" t="s">
        <v>2607</v>
      </c>
      <c r="E103" s="147"/>
      <c r="F103" s="188"/>
      <c r="G103" s="103"/>
      <c r="H103" s="190">
        <v>460</v>
      </c>
      <c r="I103" s="163">
        <f>H103*F103</f>
        <v>0</v>
      </c>
      <c r="J103" s="102"/>
      <c r="K103" s="190"/>
      <c r="L103" s="102"/>
      <c r="M103" s="190"/>
      <c r="N103" s="102"/>
      <c r="O103" s="190"/>
      <c r="P103" s="102"/>
      <c r="Q103" s="190"/>
      <c r="R103" s="102"/>
      <c r="S103" s="190"/>
      <c r="T103" s="194"/>
      <c r="U103" s="195"/>
      <c r="V103" s="193">
        <v>840</v>
      </c>
    </row>
    <row r="104" spans="2:22" ht="28.5" hidden="1" customHeight="1">
      <c r="C104" s="18"/>
      <c r="D104" s="29" t="s">
        <v>1253</v>
      </c>
      <c r="E104" s="148"/>
      <c r="F104" s="189"/>
      <c r="G104" s="103"/>
      <c r="H104" s="190"/>
      <c r="I104" s="163"/>
      <c r="J104" s="102"/>
      <c r="K104" s="190"/>
      <c r="L104" s="102"/>
      <c r="M104" s="190"/>
      <c r="N104" s="102"/>
      <c r="O104" s="190"/>
      <c r="P104" s="102"/>
      <c r="Q104" s="190"/>
      <c r="R104" s="102"/>
      <c r="S104" s="190"/>
      <c r="T104" s="194"/>
      <c r="U104" s="195"/>
      <c r="V104" s="193"/>
    </row>
    <row r="105" spans="2:22" ht="21" hidden="1" customHeight="1">
      <c r="C105" s="18"/>
      <c r="D105" s="29" t="s">
        <v>2608</v>
      </c>
      <c r="E105" s="148"/>
      <c r="F105" s="189"/>
      <c r="G105" s="103"/>
      <c r="H105" s="190"/>
      <c r="I105" s="163"/>
      <c r="J105" s="102"/>
      <c r="K105" s="190"/>
      <c r="L105" s="102"/>
      <c r="M105" s="190"/>
      <c r="N105" s="102"/>
      <c r="O105" s="190"/>
      <c r="P105" s="102"/>
      <c r="Q105" s="190"/>
      <c r="R105" s="102"/>
      <c r="S105" s="190"/>
      <c r="T105" s="194"/>
      <c r="U105" s="195"/>
      <c r="V105" s="193"/>
    </row>
    <row r="106" spans="2:22" ht="21" hidden="1" customHeight="1">
      <c r="C106" s="18"/>
      <c r="D106" s="29" t="s">
        <v>2588</v>
      </c>
      <c r="E106" s="148"/>
      <c r="F106" s="189"/>
      <c r="G106" s="103"/>
      <c r="H106" s="190"/>
      <c r="I106" s="163"/>
      <c r="J106" s="102"/>
      <c r="K106" s="190"/>
      <c r="L106" s="102"/>
      <c r="M106" s="190"/>
      <c r="N106" s="102"/>
      <c r="O106" s="190"/>
      <c r="P106" s="102"/>
      <c r="Q106" s="190"/>
      <c r="R106" s="102"/>
      <c r="S106" s="190"/>
      <c r="T106" s="194"/>
      <c r="U106" s="195"/>
      <c r="V106" s="193"/>
    </row>
    <row r="107" spans="2:22" ht="21" hidden="1" customHeight="1">
      <c r="C107" s="3"/>
      <c r="D107" s="68"/>
      <c r="E107" s="66"/>
      <c r="F107" s="189"/>
      <c r="G107" s="103"/>
      <c r="H107" s="190"/>
      <c r="I107" s="163"/>
      <c r="J107" s="102"/>
      <c r="K107" s="190"/>
      <c r="L107" s="102"/>
      <c r="M107" s="190"/>
      <c r="N107" s="102"/>
      <c r="O107" s="190"/>
      <c r="P107" s="102"/>
      <c r="Q107" s="190"/>
      <c r="R107" s="102"/>
      <c r="S107" s="190"/>
      <c r="T107" s="194"/>
      <c r="U107" s="195"/>
      <c r="V107" s="193"/>
    </row>
    <row r="108" spans="2:22" ht="21" hidden="1" customHeight="1">
      <c r="C108" s="18">
        <v>3476</v>
      </c>
      <c r="D108" s="67" t="s">
        <v>2609</v>
      </c>
      <c r="E108" s="147"/>
      <c r="F108" s="188"/>
      <c r="G108" s="103"/>
      <c r="H108" s="190">
        <v>430</v>
      </c>
      <c r="I108" s="163">
        <f>H108*F108</f>
        <v>0</v>
      </c>
      <c r="J108" s="102"/>
      <c r="K108" s="190"/>
      <c r="L108" s="102"/>
      <c r="M108" s="190"/>
      <c r="N108" s="102"/>
      <c r="O108" s="190"/>
      <c r="P108" s="102"/>
      <c r="Q108" s="190"/>
      <c r="R108" s="102"/>
      <c r="S108" s="190"/>
      <c r="T108" s="194"/>
      <c r="U108" s="195"/>
      <c r="V108" s="193">
        <v>780</v>
      </c>
    </row>
    <row r="109" spans="2:22" ht="21" hidden="1" customHeight="1">
      <c r="C109" s="24"/>
      <c r="D109" s="29" t="s">
        <v>2610</v>
      </c>
      <c r="E109" s="148"/>
      <c r="F109" s="189"/>
      <c r="G109" s="103"/>
      <c r="H109" s="190"/>
      <c r="I109" s="163"/>
      <c r="J109" s="102"/>
      <c r="K109" s="190"/>
      <c r="L109" s="102"/>
      <c r="M109" s="190"/>
      <c r="N109" s="102"/>
      <c r="O109" s="190"/>
      <c r="P109" s="102"/>
      <c r="Q109" s="190"/>
      <c r="R109" s="102"/>
      <c r="S109" s="190"/>
      <c r="T109" s="194"/>
      <c r="U109" s="195"/>
      <c r="V109" s="193"/>
    </row>
    <row r="110" spans="2:22" ht="21" hidden="1" customHeight="1">
      <c r="C110" s="24"/>
      <c r="D110" s="29" t="s">
        <v>2611</v>
      </c>
      <c r="E110" s="148"/>
      <c r="F110" s="189"/>
      <c r="G110" s="103"/>
      <c r="H110" s="190"/>
      <c r="I110" s="163"/>
      <c r="J110" s="102"/>
      <c r="K110" s="190"/>
      <c r="L110" s="102"/>
      <c r="M110" s="190"/>
      <c r="N110" s="102"/>
      <c r="O110" s="190"/>
      <c r="P110" s="102"/>
      <c r="Q110" s="190"/>
      <c r="R110" s="102"/>
      <c r="S110" s="190"/>
      <c r="T110" s="194"/>
      <c r="U110" s="195"/>
      <c r="V110" s="193"/>
    </row>
    <row r="111" spans="2:22" ht="21" hidden="1" customHeight="1">
      <c r="C111" s="24"/>
      <c r="D111" s="29" t="s">
        <v>2588</v>
      </c>
      <c r="E111" s="148"/>
      <c r="F111" s="189"/>
      <c r="G111" s="103"/>
      <c r="H111" s="190"/>
      <c r="I111" s="163"/>
      <c r="J111" s="102"/>
      <c r="K111" s="190"/>
      <c r="L111" s="102"/>
      <c r="M111" s="190"/>
      <c r="N111" s="102"/>
      <c r="O111" s="190"/>
      <c r="P111" s="102"/>
      <c r="Q111" s="190"/>
      <c r="R111" s="102"/>
      <c r="S111" s="190"/>
      <c r="T111" s="194"/>
      <c r="U111" s="195"/>
      <c r="V111" s="193"/>
    </row>
    <row r="112" spans="2:22" ht="24.75" customHeight="1">
      <c r="B112" s="218"/>
      <c r="C112" s="229">
        <v>2006</v>
      </c>
      <c r="D112" s="130" t="s">
        <v>2612</v>
      </c>
      <c r="E112" s="139"/>
      <c r="F112" s="161"/>
      <c r="G112" s="133"/>
      <c r="H112" s="163">
        <v>875</v>
      </c>
      <c r="I112" s="122">
        <f>F112*H112</f>
        <v>0</v>
      </c>
      <c r="J112" s="163">
        <v>919</v>
      </c>
      <c r="K112" s="122">
        <f>F112*J112</f>
        <v>0</v>
      </c>
      <c r="L112" s="163">
        <v>963</v>
      </c>
      <c r="M112" s="122">
        <f>F112*L112</f>
        <v>0</v>
      </c>
      <c r="N112" s="163">
        <v>1006</v>
      </c>
      <c r="O112" s="122">
        <f>F112*N112</f>
        <v>0</v>
      </c>
      <c r="P112" s="164"/>
      <c r="Q112" s="122"/>
      <c r="R112" s="164"/>
      <c r="S112" s="122"/>
      <c r="T112" s="172"/>
      <c r="U112" s="166"/>
      <c r="V112" s="167">
        <v>1660</v>
      </c>
    </row>
    <row r="113" spans="2:22">
      <c r="B113" s="218"/>
      <c r="C113" s="230"/>
      <c r="D113" s="35" t="s">
        <v>1179</v>
      </c>
      <c r="E113" s="138"/>
      <c r="F113" s="168"/>
      <c r="G113" s="201"/>
      <c r="H113" s="163"/>
      <c r="I113" s="122"/>
      <c r="J113" s="124"/>
      <c r="K113" s="123"/>
      <c r="L113" s="124"/>
      <c r="M113" s="123"/>
      <c r="N113" s="124"/>
      <c r="O113" s="123"/>
      <c r="P113" s="124"/>
      <c r="Q113" s="123"/>
      <c r="R113" s="124"/>
      <c r="S113" s="123"/>
      <c r="T113" s="169"/>
      <c r="U113" s="170"/>
      <c r="V113" s="193"/>
    </row>
    <row r="114" spans="2:22">
      <c r="B114" s="218"/>
      <c r="C114" s="230"/>
      <c r="D114" s="35" t="s">
        <v>1187</v>
      </c>
      <c r="E114" s="138"/>
      <c r="F114" s="168"/>
      <c r="G114" s="201"/>
      <c r="H114" s="163"/>
      <c r="I114" s="122"/>
      <c r="J114" s="124"/>
      <c r="K114" s="123"/>
      <c r="L114" s="124"/>
      <c r="M114" s="123"/>
      <c r="N114" s="124"/>
      <c r="O114" s="123"/>
      <c r="P114" s="124"/>
      <c r="Q114" s="123"/>
      <c r="R114" s="124"/>
      <c r="S114" s="123"/>
      <c r="T114" s="169"/>
      <c r="U114" s="170"/>
      <c r="V114" s="193"/>
    </row>
    <row r="115" spans="2:22">
      <c r="B115" s="218"/>
      <c r="C115" s="230"/>
      <c r="D115" s="29" t="s">
        <v>2613</v>
      </c>
      <c r="E115" s="138"/>
      <c r="F115" s="168"/>
      <c r="G115" s="201"/>
      <c r="H115" s="163"/>
      <c r="I115" s="122"/>
      <c r="J115" s="124"/>
      <c r="K115" s="123"/>
      <c r="L115" s="124"/>
      <c r="M115" s="123"/>
      <c r="N115" s="124"/>
      <c r="O115" s="123"/>
      <c r="P115" s="124"/>
      <c r="Q115" s="123"/>
      <c r="R115" s="124"/>
      <c r="S115" s="123"/>
      <c r="T115" s="169"/>
      <c r="U115" s="170"/>
      <c r="V115" s="193"/>
    </row>
    <row r="116" spans="2:22" ht="24.75" customHeight="1">
      <c r="B116" s="218"/>
      <c r="C116" s="231">
        <v>3523</v>
      </c>
      <c r="D116" s="131" t="s">
        <v>2614</v>
      </c>
      <c r="E116" s="139"/>
      <c r="F116" s="161"/>
      <c r="G116" s="133"/>
      <c r="H116" s="163">
        <v>675</v>
      </c>
      <c r="I116" s="122">
        <f>H116*F116</f>
        <v>0</v>
      </c>
      <c r="J116" s="121">
        <v>709</v>
      </c>
      <c r="K116" s="122">
        <f>F116*J116</f>
        <v>0</v>
      </c>
      <c r="L116" s="121">
        <v>743</v>
      </c>
      <c r="M116" s="122">
        <f>L116*F116</f>
        <v>0</v>
      </c>
      <c r="N116" s="121">
        <v>776</v>
      </c>
      <c r="O116" s="122">
        <f>N116*F116</f>
        <v>0</v>
      </c>
      <c r="P116" s="176"/>
      <c r="Q116" s="122"/>
      <c r="R116" s="176"/>
      <c r="S116" s="122"/>
      <c r="T116" s="177"/>
      <c r="U116" s="178"/>
      <c r="V116" s="167">
        <v>1280</v>
      </c>
    </row>
    <row r="117" spans="2:22" ht="19.5" customHeight="1">
      <c r="B117" s="218"/>
      <c r="C117" s="231"/>
      <c r="D117" s="29" t="s">
        <v>1214</v>
      </c>
      <c r="E117" s="140"/>
      <c r="F117" s="120"/>
      <c r="G117" s="133"/>
      <c r="H117" s="121"/>
      <c r="I117" s="122"/>
      <c r="J117" s="124"/>
      <c r="K117" s="123"/>
      <c r="L117" s="124"/>
      <c r="M117" s="123"/>
      <c r="N117" s="124"/>
      <c r="O117" s="123"/>
      <c r="P117" s="124"/>
      <c r="Q117" s="123"/>
      <c r="R117" s="124"/>
      <c r="S117" s="123"/>
      <c r="T117" s="169"/>
      <c r="U117" s="170"/>
      <c r="V117" s="193"/>
    </row>
    <row r="118" spans="2:22" ht="25.5">
      <c r="B118" s="218"/>
      <c r="C118" s="231"/>
      <c r="D118" s="39" t="s">
        <v>2615</v>
      </c>
      <c r="E118" s="140"/>
      <c r="F118" s="120"/>
      <c r="G118" s="133"/>
      <c r="H118" s="121"/>
      <c r="I118" s="122"/>
      <c r="J118" s="124"/>
      <c r="K118" s="123"/>
      <c r="L118" s="124"/>
      <c r="M118" s="123"/>
      <c r="N118" s="124"/>
      <c r="O118" s="123"/>
      <c r="P118" s="124"/>
      <c r="Q118" s="123"/>
      <c r="R118" s="124"/>
      <c r="S118" s="123"/>
      <c r="T118" s="169"/>
      <c r="U118" s="170"/>
      <c r="V118" s="193"/>
    </row>
    <row r="119" spans="2:22">
      <c r="B119" s="218"/>
      <c r="C119" s="231"/>
      <c r="D119" s="34" t="s">
        <v>2444</v>
      </c>
      <c r="E119" s="140"/>
      <c r="F119" s="120"/>
      <c r="G119" s="133"/>
      <c r="H119" s="121"/>
      <c r="I119" s="122"/>
      <c r="J119" s="124"/>
      <c r="K119" s="123"/>
      <c r="L119" s="124"/>
      <c r="M119" s="123"/>
      <c r="N119" s="124"/>
      <c r="O119" s="123"/>
      <c r="P119" s="124"/>
      <c r="Q119" s="123"/>
      <c r="R119" s="124"/>
      <c r="S119" s="123"/>
      <c r="T119" s="169"/>
      <c r="U119" s="170"/>
      <c r="V119" s="193"/>
    </row>
    <row r="120" spans="2:22" ht="24" customHeight="1">
      <c r="B120" s="218"/>
      <c r="C120" s="231">
        <v>3524</v>
      </c>
      <c r="D120" s="131" t="s">
        <v>2616</v>
      </c>
      <c r="E120" s="139"/>
      <c r="F120" s="161"/>
      <c r="G120" s="133"/>
      <c r="H120" s="163">
        <v>675</v>
      </c>
      <c r="I120" s="122">
        <f>H120*F120</f>
        <v>0</v>
      </c>
      <c r="J120" s="121">
        <v>709</v>
      </c>
      <c r="K120" s="122">
        <f>J120*F120</f>
        <v>0</v>
      </c>
      <c r="L120" s="121">
        <v>743</v>
      </c>
      <c r="M120" s="122">
        <f>L120*F120</f>
        <v>0</v>
      </c>
      <c r="N120" s="121">
        <v>776</v>
      </c>
      <c r="O120" s="122">
        <f>N120*F120</f>
        <v>0</v>
      </c>
      <c r="P120" s="176"/>
      <c r="Q120" s="122"/>
      <c r="R120" s="176"/>
      <c r="S120" s="122"/>
      <c r="T120" s="177"/>
      <c r="U120" s="178"/>
      <c r="V120" s="167">
        <v>1280</v>
      </c>
    </row>
    <row r="121" spans="2:22">
      <c r="B121" s="218"/>
      <c r="C121" s="231"/>
      <c r="D121" s="29" t="s">
        <v>1221</v>
      </c>
      <c r="E121" s="140"/>
      <c r="F121" s="120"/>
      <c r="G121" s="133"/>
      <c r="H121" s="121"/>
      <c r="I121" s="122"/>
      <c r="J121" s="124"/>
      <c r="K121" s="123"/>
      <c r="L121" s="124"/>
      <c r="M121" s="123"/>
      <c r="N121" s="124"/>
      <c r="O121" s="123"/>
      <c r="P121" s="124"/>
      <c r="Q121" s="123"/>
      <c r="R121" s="124"/>
      <c r="S121" s="123"/>
      <c r="T121" s="169"/>
      <c r="U121" s="170"/>
      <c r="V121" s="193"/>
    </row>
    <row r="122" spans="2:22" ht="25.5">
      <c r="B122" s="218"/>
      <c r="C122" s="231"/>
      <c r="D122" s="39" t="s">
        <v>2617</v>
      </c>
      <c r="E122" s="140"/>
      <c r="F122" s="120"/>
      <c r="G122" s="133"/>
      <c r="H122" s="121"/>
      <c r="I122" s="122"/>
      <c r="J122" s="124"/>
      <c r="K122" s="123"/>
      <c r="L122" s="124"/>
      <c r="M122" s="123"/>
      <c r="N122" s="124"/>
      <c r="O122" s="123"/>
      <c r="P122" s="124"/>
      <c r="Q122" s="123"/>
      <c r="R122" s="124"/>
      <c r="S122" s="123"/>
      <c r="T122" s="169"/>
      <c r="U122" s="170"/>
      <c r="V122" s="193"/>
    </row>
    <row r="123" spans="2:22">
      <c r="B123" s="218"/>
      <c r="C123" s="232"/>
      <c r="D123" s="34" t="s">
        <v>2444</v>
      </c>
      <c r="E123" s="135"/>
      <c r="F123" s="120"/>
      <c r="G123" s="133"/>
      <c r="H123" s="163"/>
      <c r="I123" s="122"/>
      <c r="J123" s="124"/>
      <c r="K123" s="123"/>
      <c r="L123" s="124"/>
      <c r="M123" s="123"/>
      <c r="N123" s="124"/>
      <c r="O123" s="123"/>
      <c r="P123" s="124"/>
      <c r="Q123" s="123"/>
      <c r="R123" s="124"/>
      <c r="S123" s="123"/>
      <c r="T123" s="169"/>
      <c r="U123" s="170"/>
      <c r="V123" s="193"/>
    </row>
    <row r="124" spans="2:22" ht="27" customHeight="1">
      <c r="B124" s="218"/>
      <c r="C124" s="231">
        <v>3474</v>
      </c>
      <c r="D124" s="131" t="s">
        <v>2618</v>
      </c>
      <c r="E124" s="134"/>
      <c r="F124" s="161"/>
      <c r="G124" s="162"/>
      <c r="H124" s="121">
        <v>625</v>
      </c>
      <c r="I124" s="122">
        <f>H124*F124</f>
        <v>0</v>
      </c>
      <c r="J124" s="121">
        <v>656</v>
      </c>
      <c r="K124" s="122">
        <f>J124*F124</f>
        <v>0</v>
      </c>
      <c r="L124" s="121">
        <v>688</v>
      </c>
      <c r="M124" s="122">
        <f>L124*F124</f>
        <v>0</v>
      </c>
      <c r="N124" s="121">
        <v>719</v>
      </c>
      <c r="O124" s="122">
        <f>N124*F124</f>
        <v>0</v>
      </c>
      <c r="P124" s="176"/>
      <c r="Q124" s="122"/>
      <c r="R124" s="176"/>
      <c r="S124" s="122"/>
      <c r="T124" s="177"/>
      <c r="U124" s="178"/>
      <c r="V124" s="167">
        <v>1185</v>
      </c>
    </row>
    <row r="125" spans="2:22">
      <c r="B125" s="218"/>
      <c r="C125" s="231"/>
      <c r="D125" s="29" t="s">
        <v>1253</v>
      </c>
      <c r="E125" s="140"/>
      <c r="F125" s="120"/>
      <c r="G125" s="133"/>
      <c r="H125" s="121"/>
      <c r="I125" s="122"/>
      <c r="J125" s="124"/>
      <c r="K125" s="123"/>
      <c r="L125" s="124"/>
      <c r="M125" s="123"/>
      <c r="N125" s="124"/>
      <c r="O125" s="123"/>
      <c r="P125" s="124"/>
      <c r="Q125" s="123"/>
      <c r="R125" s="124"/>
      <c r="S125" s="123"/>
      <c r="T125" s="169"/>
      <c r="U125" s="170"/>
      <c r="V125" s="193"/>
    </row>
    <row r="126" spans="2:22">
      <c r="B126" s="218"/>
      <c r="C126" s="231"/>
      <c r="D126" s="39" t="s">
        <v>2619</v>
      </c>
      <c r="E126" s="140"/>
      <c r="F126" s="120"/>
      <c r="G126" s="133"/>
      <c r="H126" s="121"/>
      <c r="I126" s="122"/>
      <c r="J126" s="124"/>
      <c r="K126" s="123"/>
      <c r="L126" s="124"/>
      <c r="M126" s="123"/>
      <c r="N126" s="124"/>
      <c r="O126" s="123"/>
      <c r="P126" s="124"/>
      <c r="Q126" s="123"/>
      <c r="R126" s="124"/>
      <c r="S126" s="123"/>
      <c r="T126" s="169"/>
      <c r="U126" s="170"/>
      <c r="V126" s="193"/>
    </row>
    <row r="127" spans="2:22">
      <c r="B127" s="218"/>
      <c r="C127" s="231"/>
      <c r="D127" s="34" t="s">
        <v>2444</v>
      </c>
      <c r="E127" s="140"/>
      <c r="F127" s="120"/>
      <c r="G127" s="133"/>
      <c r="H127" s="121"/>
      <c r="I127" s="122"/>
      <c r="J127" s="124"/>
      <c r="K127" s="123"/>
      <c r="L127" s="124"/>
      <c r="M127" s="123"/>
      <c r="N127" s="124"/>
      <c r="O127" s="123"/>
      <c r="P127" s="124"/>
      <c r="Q127" s="123"/>
      <c r="R127" s="124"/>
      <c r="S127" s="123"/>
      <c r="T127" s="169"/>
      <c r="U127" s="170"/>
      <c r="V127" s="193"/>
    </row>
    <row r="128" spans="2:22" ht="27.75" customHeight="1">
      <c r="B128" s="218"/>
      <c r="C128" s="231">
        <v>3476</v>
      </c>
      <c r="D128" s="131" t="s">
        <v>2620</v>
      </c>
      <c r="E128" s="139"/>
      <c r="F128" s="161"/>
      <c r="G128" s="133"/>
      <c r="H128" s="163">
        <v>625</v>
      </c>
      <c r="I128" s="122">
        <f>H128*F128</f>
        <v>0</v>
      </c>
      <c r="J128" s="121">
        <v>656</v>
      </c>
      <c r="K128" s="122">
        <f>J128*F128</f>
        <v>0</v>
      </c>
      <c r="L128" s="121">
        <v>688</v>
      </c>
      <c r="M128" s="122">
        <f>L128*F128</f>
        <v>0</v>
      </c>
      <c r="N128" s="121">
        <v>719</v>
      </c>
      <c r="O128" s="122">
        <f>N128*F128</f>
        <v>0</v>
      </c>
      <c r="P128" s="176"/>
      <c r="Q128" s="122"/>
      <c r="R128" s="176"/>
      <c r="S128" s="122"/>
      <c r="T128" s="177"/>
      <c r="U128" s="178"/>
      <c r="V128" s="167">
        <v>1185</v>
      </c>
    </row>
    <row r="129" spans="2:22" ht="18.75" customHeight="1">
      <c r="B129" s="218"/>
      <c r="C129" s="231"/>
      <c r="D129" s="29" t="s">
        <v>2621</v>
      </c>
      <c r="E129" s="140"/>
      <c r="F129" s="120"/>
      <c r="G129" s="133"/>
      <c r="H129" s="121"/>
      <c r="I129" s="122"/>
      <c r="J129" s="124"/>
      <c r="K129" s="123"/>
      <c r="L129" s="124"/>
      <c r="M129" s="123"/>
      <c r="N129" s="124"/>
      <c r="O129" s="123"/>
      <c r="P129" s="124"/>
      <c r="Q129" s="123"/>
      <c r="R129" s="124"/>
      <c r="S129" s="123"/>
      <c r="T129" s="169"/>
      <c r="U129" s="170"/>
      <c r="V129" s="193"/>
    </row>
    <row r="130" spans="2:22" ht="18.75" customHeight="1">
      <c r="B130" s="218"/>
      <c r="C130" s="231"/>
      <c r="D130" s="39" t="s">
        <v>2622</v>
      </c>
      <c r="E130" s="140"/>
      <c r="F130" s="120"/>
      <c r="G130" s="133"/>
      <c r="H130" s="121"/>
      <c r="I130" s="122"/>
      <c r="J130" s="124"/>
      <c r="K130" s="123"/>
      <c r="L130" s="124"/>
      <c r="M130" s="123"/>
      <c r="N130" s="124"/>
      <c r="O130" s="123"/>
      <c r="P130" s="124"/>
      <c r="Q130" s="123"/>
      <c r="R130" s="124"/>
      <c r="S130" s="123"/>
      <c r="T130" s="169"/>
      <c r="U130" s="170"/>
      <c r="V130" s="193"/>
    </row>
    <row r="131" spans="2:22">
      <c r="B131" s="218"/>
      <c r="C131" s="231"/>
      <c r="D131" s="34" t="s">
        <v>2444</v>
      </c>
      <c r="E131" s="140"/>
      <c r="F131" s="120"/>
      <c r="G131" s="133"/>
      <c r="H131" s="121"/>
      <c r="I131" s="122"/>
      <c r="J131" s="124"/>
      <c r="K131" s="123"/>
      <c r="L131" s="124"/>
      <c r="M131" s="123"/>
      <c r="N131" s="124"/>
      <c r="O131" s="123"/>
      <c r="P131" s="124"/>
      <c r="Q131" s="123"/>
      <c r="R131" s="124"/>
      <c r="S131" s="123"/>
      <c r="T131" s="169"/>
      <c r="U131" s="170"/>
      <c r="V131" s="193"/>
    </row>
    <row r="132" spans="2:22" ht="27" customHeight="1">
      <c r="B132" s="218"/>
      <c r="C132" s="231">
        <v>3475</v>
      </c>
      <c r="D132" s="131" t="s">
        <v>2623</v>
      </c>
      <c r="E132" s="139"/>
      <c r="F132" s="161"/>
      <c r="G132" s="133"/>
      <c r="H132" s="163">
        <v>605</v>
      </c>
      <c r="I132" s="122">
        <f>H132*F132</f>
        <v>0</v>
      </c>
      <c r="J132" s="121">
        <v>635</v>
      </c>
      <c r="K132" s="122">
        <f>J132*F132</f>
        <v>0</v>
      </c>
      <c r="L132" s="121">
        <v>666</v>
      </c>
      <c r="M132" s="122">
        <f>L132*F132</f>
        <v>0</v>
      </c>
      <c r="N132" s="121">
        <v>696</v>
      </c>
      <c r="O132" s="122">
        <f>N132*F132</f>
        <v>0</v>
      </c>
      <c r="P132" s="176"/>
      <c r="Q132" s="122"/>
      <c r="R132" s="176"/>
      <c r="S132" s="122"/>
      <c r="T132" s="177"/>
      <c r="U132" s="178"/>
      <c r="V132" s="167">
        <v>1145</v>
      </c>
    </row>
    <row r="133" spans="2:22" ht="25.5">
      <c r="B133" s="218"/>
      <c r="C133" s="231"/>
      <c r="D133" s="29" t="s">
        <v>1197</v>
      </c>
      <c r="E133" s="140"/>
      <c r="F133" s="120"/>
      <c r="G133" s="133"/>
      <c r="H133" s="121"/>
      <c r="I133" s="122"/>
      <c r="J133" s="124"/>
      <c r="K133" s="123"/>
      <c r="L133" s="124"/>
      <c r="M133" s="123"/>
      <c r="N133" s="124"/>
      <c r="O133" s="123"/>
      <c r="P133" s="124"/>
      <c r="Q133" s="123"/>
      <c r="R133" s="124"/>
      <c r="S133" s="123"/>
      <c r="T133" s="169"/>
      <c r="U133" s="170"/>
      <c r="V133" s="193"/>
    </row>
    <row r="134" spans="2:22" ht="25.5">
      <c r="B134" s="218"/>
      <c r="C134" s="231"/>
      <c r="D134" s="39" t="s">
        <v>2624</v>
      </c>
      <c r="E134" s="140"/>
      <c r="F134" s="120"/>
      <c r="G134" s="133"/>
      <c r="H134" s="121"/>
      <c r="I134" s="122"/>
      <c r="J134" s="124"/>
      <c r="K134" s="123"/>
      <c r="L134" s="124"/>
      <c r="M134" s="123"/>
      <c r="N134" s="124"/>
      <c r="O134" s="123"/>
      <c r="P134" s="124"/>
      <c r="Q134" s="123"/>
      <c r="R134" s="124"/>
      <c r="S134" s="123"/>
      <c r="T134" s="169"/>
      <c r="U134" s="170"/>
      <c r="V134" s="193"/>
    </row>
    <row r="135" spans="2:22">
      <c r="B135" s="218"/>
      <c r="C135" s="232"/>
      <c r="D135" s="34" t="s">
        <v>2444</v>
      </c>
      <c r="E135" s="135"/>
      <c r="F135" s="120"/>
      <c r="G135" s="133"/>
      <c r="H135" s="163"/>
      <c r="I135" s="122"/>
      <c r="J135" s="124"/>
      <c r="K135" s="123"/>
      <c r="L135" s="124"/>
      <c r="M135" s="123"/>
      <c r="N135" s="124"/>
      <c r="O135" s="123"/>
      <c r="P135" s="124"/>
      <c r="Q135" s="123"/>
      <c r="R135" s="124"/>
      <c r="S135" s="123"/>
      <c r="T135" s="169"/>
      <c r="U135" s="170"/>
      <c r="V135" s="193"/>
    </row>
    <row r="136" spans="2:22" ht="28.5" customHeight="1">
      <c r="B136" s="218"/>
      <c r="C136" s="231">
        <v>3528</v>
      </c>
      <c r="D136" s="131" t="s">
        <v>2625</v>
      </c>
      <c r="E136" s="134"/>
      <c r="F136" s="161"/>
      <c r="G136" s="162"/>
      <c r="H136" s="121">
        <v>605</v>
      </c>
      <c r="I136" s="122">
        <f>H136*F136</f>
        <v>0</v>
      </c>
      <c r="J136" s="121">
        <v>635</v>
      </c>
      <c r="K136" s="122">
        <f>J136*F136</f>
        <v>0</v>
      </c>
      <c r="L136" s="121">
        <v>666</v>
      </c>
      <c r="M136" s="122">
        <f>L136*F136</f>
        <v>0</v>
      </c>
      <c r="N136" s="121">
        <v>696</v>
      </c>
      <c r="O136" s="122">
        <f>N136*F136</f>
        <v>0</v>
      </c>
      <c r="P136" s="176"/>
      <c r="Q136" s="122"/>
      <c r="R136" s="176"/>
      <c r="S136" s="122"/>
      <c r="T136" s="177"/>
      <c r="U136" s="178"/>
      <c r="V136" s="167">
        <v>1145</v>
      </c>
    </row>
    <row r="137" spans="2:22" ht="25.5">
      <c r="B137" s="218"/>
      <c r="C137" s="231"/>
      <c r="D137" s="29" t="s">
        <v>1209</v>
      </c>
      <c r="E137" s="140"/>
      <c r="F137" s="120"/>
      <c r="G137" s="133"/>
      <c r="H137" s="121"/>
      <c r="I137" s="122"/>
      <c r="J137" s="124"/>
      <c r="K137" s="123"/>
      <c r="L137" s="124"/>
      <c r="M137" s="123"/>
      <c r="N137" s="124"/>
      <c r="O137" s="123"/>
      <c r="P137" s="124"/>
      <c r="Q137" s="123"/>
      <c r="R137" s="124"/>
      <c r="S137" s="123"/>
      <c r="T137" s="169"/>
      <c r="U137" s="170"/>
      <c r="V137" s="193"/>
    </row>
    <row r="138" spans="2:22" ht="25.5">
      <c r="B138" s="218"/>
      <c r="C138" s="231"/>
      <c r="D138" s="39" t="s">
        <v>2626</v>
      </c>
      <c r="E138" s="140"/>
      <c r="F138" s="120"/>
      <c r="G138" s="133"/>
      <c r="H138" s="121"/>
      <c r="I138" s="122"/>
      <c r="J138" s="124"/>
      <c r="K138" s="123"/>
      <c r="L138" s="124"/>
      <c r="M138" s="123"/>
      <c r="N138" s="124"/>
      <c r="O138" s="123"/>
      <c r="P138" s="124"/>
      <c r="Q138" s="123"/>
      <c r="R138" s="124"/>
      <c r="S138" s="123"/>
      <c r="T138" s="169"/>
      <c r="U138" s="170"/>
      <c r="V138" s="193"/>
    </row>
    <row r="139" spans="2:22">
      <c r="B139" s="218"/>
      <c r="C139" s="231"/>
      <c r="D139" s="34" t="s">
        <v>2444</v>
      </c>
      <c r="E139" s="140"/>
      <c r="F139" s="120"/>
      <c r="G139" s="133"/>
      <c r="H139" s="121"/>
      <c r="I139" s="122"/>
      <c r="J139" s="124"/>
      <c r="K139" s="123"/>
      <c r="L139" s="124"/>
      <c r="M139" s="123"/>
      <c r="N139" s="124"/>
      <c r="O139" s="123"/>
      <c r="P139" s="124"/>
      <c r="Q139" s="123"/>
      <c r="R139" s="124"/>
      <c r="S139" s="123"/>
      <c r="T139" s="169"/>
      <c r="U139" s="170"/>
      <c r="V139" s="193"/>
    </row>
    <row r="140" spans="2:22" ht="29.25" customHeight="1">
      <c r="B140" s="218"/>
      <c r="C140" s="231">
        <v>3529</v>
      </c>
      <c r="D140" s="131" t="s">
        <v>2627</v>
      </c>
      <c r="E140" s="139"/>
      <c r="F140" s="161"/>
      <c r="G140" s="133"/>
      <c r="H140" s="163">
        <v>525</v>
      </c>
      <c r="I140" s="122">
        <f>H140*F140</f>
        <v>0</v>
      </c>
      <c r="J140" s="121">
        <v>551</v>
      </c>
      <c r="K140" s="122">
        <f>J140*F140</f>
        <v>0</v>
      </c>
      <c r="L140" s="121">
        <v>578</v>
      </c>
      <c r="M140" s="122">
        <f>L140*F140</f>
        <v>0</v>
      </c>
      <c r="N140" s="121">
        <v>604</v>
      </c>
      <c r="O140" s="122">
        <f>N140*F140</f>
        <v>0</v>
      </c>
      <c r="P140" s="176"/>
      <c r="Q140" s="122"/>
      <c r="R140" s="176"/>
      <c r="S140" s="122"/>
      <c r="T140" s="177"/>
      <c r="U140" s="178"/>
      <c r="V140" s="167">
        <v>995</v>
      </c>
    </row>
    <row r="141" spans="2:22" ht="25.5">
      <c r="B141" s="218"/>
      <c r="C141" s="231"/>
      <c r="D141" s="29" t="s">
        <v>1204</v>
      </c>
      <c r="E141" s="140"/>
      <c r="F141" s="120"/>
      <c r="G141" s="133"/>
      <c r="H141" s="121"/>
      <c r="I141" s="122"/>
      <c r="J141" s="124"/>
      <c r="K141" s="123"/>
      <c r="L141" s="124"/>
      <c r="M141" s="123"/>
      <c r="N141" s="124"/>
      <c r="O141" s="123"/>
      <c r="P141" s="124"/>
      <c r="Q141" s="123"/>
      <c r="R141" s="124"/>
      <c r="S141" s="123"/>
      <c r="T141" s="169"/>
      <c r="U141" s="170"/>
      <c r="V141" s="193"/>
    </row>
    <row r="142" spans="2:22">
      <c r="B142" s="218"/>
      <c r="C142" s="231"/>
      <c r="D142" s="39" t="s">
        <v>2628</v>
      </c>
      <c r="E142" s="140"/>
      <c r="F142" s="120"/>
      <c r="G142" s="133"/>
      <c r="H142" s="121"/>
      <c r="I142" s="122"/>
      <c r="J142" s="124"/>
      <c r="K142" s="123"/>
      <c r="L142" s="124"/>
      <c r="M142" s="123"/>
      <c r="N142" s="124"/>
      <c r="O142" s="123"/>
      <c r="P142" s="124"/>
      <c r="Q142" s="123"/>
      <c r="R142" s="124"/>
      <c r="S142" s="123"/>
      <c r="T142" s="169"/>
      <c r="U142" s="170"/>
      <c r="V142" s="193"/>
    </row>
    <row r="143" spans="2:22">
      <c r="B143" s="218"/>
      <c r="C143" s="231"/>
      <c r="D143" s="34" t="s">
        <v>2444</v>
      </c>
      <c r="E143" s="140"/>
      <c r="F143" s="120"/>
      <c r="G143" s="133"/>
      <c r="H143" s="121"/>
      <c r="I143" s="122"/>
      <c r="J143" s="124"/>
      <c r="K143" s="123"/>
      <c r="L143" s="124"/>
      <c r="M143" s="123"/>
      <c r="N143" s="124"/>
      <c r="O143" s="123"/>
      <c r="P143" s="124"/>
      <c r="Q143" s="123"/>
      <c r="R143" s="124"/>
      <c r="S143" s="123"/>
      <c r="T143" s="169"/>
      <c r="U143" s="170"/>
      <c r="V143" s="193"/>
    </row>
    <row r="144" spans="2:22" ht="27" customHeight="1">
      <c r="B144" s="218"/>
      <c r="C144" s="229">
        <v>4678</v>
      </c>
      <c r="D144" s="69" t="s">
        <v>2629</v>
      </c>
      <c r="E144" s="149"/>
      <c r="F144" s="161"/>
      <c r="G144" s="133"/>
      <c r="H144" s="1033">
        <v>585</v>
      </c>
      <c r="I144" s="1034">
        <f>F144*H144</f>
        <v>0</v>
      </c>
      <c r="J144" s="1033">
        <v>614</v>
      </c>
      <c r="K144" s="1034">
        <f>J144*F144</f>
        <v>0</v>
      </c>
      <c r="L144" s="1033">
        <v>644</v>
      </c>
      <c r="M144" s="1034">
        <f>L144*F144</f>
        <v>0</v>
      </c>
      <c r="N144" s="1033">
        <v>673</v>
      </c>
      <c r="O144" s="1034">
        <f>N144*F144</f>
        <v>0</v>
      </c>
      <c r="P144" s="1035"/>
      <c r="Q144" s="1034"/>
      <c r="R144" s="1035"/>
      <c r="S144" s="1034"/>
      <c r="T144" s="1036"/>
      <c r="U144" s="1037"/>
      <c r="V144" s="1038">
        <v>1170</v>
      </c>
    </row>
    <row r="145" spans="2:22" ht="18.75" customHeight="1">
      <c r="B145" s="218"/>
      <c r="C145" s="230"/>
      <c r="D145" s="1032" t="s">
        <v>2630</v>
      </c>
      <c r="E145" s="138"/>
      <c r="F145" s="168"/>
      <c r="G145" s="201"/>
      <c r="H145" s="163"/>
      <c r="I145" s="122"/>
      <c r="J145" s="124"/>
      <c r="K145" s="123"/>
      <c r="L145" s="124"/>
      <c r="M145" s="123"/>
      <c r="N145" s="124"/>
      <c r="O145" s="123"/>
      <c r="P145" s="124"/>
      <c r="Q145" s="123"/>
      <c r="R145" s="124"/>
      <c r="S145" s="123"/>
      <c r="T145" s="169"/>
      <c r="U145" s="170"/>
      <c r="V145" s="193"/>
    </row>
    <row r="146" spans="2:22" ht="19.5" customHeight="1">
      <c r="B146" s="218"/>
      <c r="C146" s="230"/>
      <c r="D146" s="1032" t="s">
        <v>2631</v>
      </c>
      <c r="E146" s="138"/>
      <c r="F146" s="168"/>
      <c r="G146" s="201"/>
      <c r="H146" s="163"/>
      <c r="I146" s="122"/>
      <c r="J146" s="124"/>
      <c r="K146" s="123"/>
      <c r="L146" s="124"/>
      <c r="M146" s="123"/>
      <c r="N146" s="124"/>
      <c r="O146" s="123"/>
      <c r="P146" s="124"/>
      <c r="Q146" s="123"/>
      <c r="R146" s="124"/>
      <c r="S146" s="123"/>
      <c r="T146" s="169"/>
      <c r="U146" s="170"/>
      <c r="V146" s="193"/>
    </row>
    <row r="147" spans="2:22" ht="20.25" customHeight="1">
      <c r="B147" s="218"/>
      <c r="C147" s="230"/>
      <c r="D147" s="29" t="s">
        <v>2632</v>
      </c>
      <c r="E147" s="138"/>
      <c r="F147" s="168"/>
      <c r="G147" s="201"/>
      <c r="H147" s="163"/>
      <c r="I147" s="122"/>
      <c r="J147" s="124"/>
      <c r="K147" s="123"/>
      <c r="L147" s="124"/>
      <c r="M147" s="123"/>
      <c r="N147" s="124"/>
      <c r="O147" s="123"/>
      <c r="P147" s="124"/>
      <c r="Q147" s="123"/>
      <c r="R147" s="124"/>
      <c r="S147" s="123"/>
      <c r="T147" s="169"/>
      <c r="U147" s="170"/>
      <c r="V147" s="193"/>
    </row>
    <row r="148" spans="2:22" ht="23.25" customHeight="1">
      <c r="B148" s="218"/>
      <c r="C148" s="231">
        <v>3526</v>
      </c>
      <c r="D148" s="69" t="s">
        <v>2633</v>
      </c>
      <c r="E148" s="149"/>
      <c r="F148" s="161"/>
      <c r="G148" s="133"/>
      <c r="H148" s="163">
        <v>775</v>
      </c>
      <c r="I148" s="122">
        <f>H148*F148</f>
        <v>0</v>
      </c>
      <c r="J148" s="121">
        <v>814</v>
      </c>
      <c r="K148" s="122">
        <f>J148*F148</f>
        <v>0</v>
      </c>
      <c r="L148" s="121">
        <v>853</v>
      </c>
      <c r="M148" s="122">
        <f>L148*F148</f>
        <v>0</v>
      </c>
      <c r="N148" s="121">
        <v>891</v>
      </c>
      <c r="O148" s="122">
        <f>N148*F148</f>
        <v>0</v>
      </c>
      <c r="P148" s="176"/>
      <c r="Q148" s="122"/>
      <c r="R148" s="176"/>
      <c r="S148" s="122"/>
      <c r="T148" s="177"/>
      <c r="U148" s="178"/>
      <c r="V148" s="167">
        <v>1470</v>
      </c>
    </row>
    <row r="149" spans="2:22" ht="23.25" customHeight="1">
      <c r="B149" s="218"/>
      <c r="C149" s="231"/>
      <c r="D149" s="16" t="s">
        <v>207</v>
      </c>
      <c r="E149" s="140"/>
      <c r="F149" s="120"/>
      <c r="G149" s="133"/>
      <c r="H149" s="121"/>
      <c r="I149" s="122"/>
      <c r="J149" s="124"/>
      <c r="K149" s="123"/>
      <c r="L149" s="124"/>
      <c r="M149" s="123"/>
      <c r="N149" s="124"/>
      <c r="O149" s="123"/>
      <c r="P149" s="124"/>
      <c r="Q149" s="123"/>
      <c r="R149" s="124"/>
      <c r="S149" s="123"/>
      <c r="T149" s="169"/>
      <c r="U149" s="170"/>
      <c r="V149" s="193"/>
    </row>
    <row r="150" spans="2:22" ht="23.25" customHeight="1">
      <c r="B150" s="218"/>
      <c r="C150" s="231"/>
      <c r="D150" s="99" t="s">
        <v>221</v>
      </c>
      <c r="E150" s="140"/>
      <c r="F150" s="120"/>
      <c r="G150" s="133"/>
      <c r="H150" s="121"/>
      <c r="I150" s="122"/>
      <c r="J150" s="124"/>
      <c r="K150" s="123"/>
      <c r="L150" s="124"/>
      <c r="M150" s="123"/>
      <c r="N150" s="124"/>
      <c r="O150" s="123"/>
      <c r="P150" s="124"/>
      <c r="Q150" s="123"/>
      <c r="R150" s="124"/>
      <c r="S150" s="123"/>
      <c r="T150" s="169"/>
      <c r="U150" s="170"/>
      <c r="V150" s="193"/>
    </row>
    <row r="151" spans="2:22" ht="23.25" customHeight="1">
      <c r="B151" s="218"/>
      <c r="C151" s="231"/>
      <c r="D151" s="29" t="s">
        <v>2632</v>
      </c>
      <c r="E151" s="140"/>
      <c r="F151" s="120"/>
      <c r="G151" s="133"/>
      <c r="H151" s="121"/>
      <c r="I151" s="122"/>
      <c r="J151" s="124"/>
      <c r="K151" s="123"/>
      <c r="L151" s="124"/>
      <c r="M151" s="123"/>
      <c r="N151" s="124"/>
      <c r="O151" s="123"/>
      <c r="P151" s="124"/>
      <c r="Q151" s="123"/>
      <c r="R151" s="124"/>
      <c r="S151" s="123"/>
      <c r="T151" s="169"/>
      <c r="U151" s="170"/>
      <c r="V151" s="193"/>
    </row>
    <row r="152" spans="2:22" ht="23.25" customHeight="1">
      <c r="B152" s="218"/>
      <c r="C152" s="231">
        <v>4676</v>
      </c>
      <c r="D152" s="69" t="s">
        <v>2634</v>
      </c>
      <c r="E152" s="149"/>
      <c r="F152" s="161"/>
      <c r="G152" s="133"/>
      <c r="H152" s="1033">
        <v>395</v>
      </c>
      <c r="I152" s="1034">
        <f>H152*F152</f>
        <v>0</v>
      </c>
      <c r="J152" s="1039">
        <v>415</v>
      </c>
      <c r="K152" s="1034">
        <f>J152*F152</f>
        <v>0</v>
      </c>
      <c r="L152" s="1039">
        <v>435</v>
      </c>
      <c r="M152" s="1034">
        <f>L152*F152</f>
        <v>0</v>
      </c>
      <c r="N152" s="1039">
        <v>454</v>
      </c>
      <c r="O152" s="1034">
        <f>N152*F152</f>
        <v>0</v>
      </c>
      <c r="P152" s="176"/>
      <c r="Q152" s="122"/>
      <c r="R152" s="176"/>
      <c r="S152" s="122"/>
      <c r="T152" s="177"/>
      <c r="U152" s="178"/>
      <c r="V152" s="167">
        <v>790</v>
      </c>
    </row>
    <row r="153" spans="2:22" ht="23.25" customHeight="1">
      <c r="B153" s="218"/>
      <c r="C153" s="231"/>
      <c r="D153" s="31" t="s">
        <v>2635</v>
      </c>
      <c r="E153" s="140"/>
      <c r="F153" s="120"/>
      <c r="G153" s="133"/>
      <c r="H153" s="121"/>
      <c r="I153" s="122"/>
      <c r="J153" s="124"/>
      <c r="K153" s="123"/>
      <c r="L153" s="124"/>
      <c r="M153" s="123"/>
      <c r="N153" s="124"/>
      <c r="O153" s="123"/>
      <c r="P153" s="124"/>
      <c r="Q153" s="123"/>
      <c r="R153" s="124"/>
      <c r="S153" s="123"/>
      <c r="T153" s="169"/>
      <c r="U153" s="170"/>
      <c r="V153" s="193"/>
    </row>
    <row r="154" spans="2:22" ht="23.25" customHeight="1">
      <c r="B154" s="218"/>
      <c r="C154" s="231"/>
      <c r="D154" s="29" t="s">
        <v>2636</v>
      </c>
      <c r="E154" s="140"/>
      <c r="F154" s="120"/>
      <c r="G154" s="133"/>
      <c r="H154" s="121"/>
      <c r="I154" s="122"/>
      <c r="J154" s="124"/>
      <c r="K154" s="123"/>
      <c r="L154" s="124"/>
      <c r="M154" s="123"/>
      <c r="N154" s="124"/>
      <c r="O154" s="123"/>
      <c r="P154" s="124"/>
      <c r="Q154" s="123"/>
      <c r="R154" s="124"/>
      <c r="S154" s="123"/>
      <c r="T154" s="169"/>
      <c r="U154" s="170"/>
      <c r="V154" s="193"/>
    </row>
    <row r="155" spans="2:22" ht="23.25" customHeight="1">
      <c r="B155" s="218"/>
      <c r="C155" s="232"/>
      <c r="D155" s="255" t="s">
        <v>2637</v>
      </c>
      <c r="E155" s="135"/>
      <c r="F155" s="120"/>
      <c r="G155" s="133"/>
      <c r="H155" s="163"/>
      <c r="I155" s="122"/>
      <c r="J155" s="124"/>
      <c r="K155" s="123"/>
      <c r="L155" s="124"/>
      <c r="M155" s="123"/>
      <c r="N155" s="124"/>
      <c r="O155" s="123"/>
      <c r="P155" s="124"/>
      <c r="Q155" s="123"/>
      <c r="R155" s="124"/>
      <c r="S155" s="123"/>
      <c r="T155" s="169"/>
      <c r="U155" s="170"/>
      <c r="V155" s="193"/>
    </row>
    <row r="156" spans="2:22" ht="23.25" customHeight="1">
      <c r="B156" s="218"/>
      <c r="C156" s="231">
        <v>4677</v>
      </c>
      <c r="D156" s="69" t="s">
        <v>2638</v>
      </c>
      <c r="E156" s="150"/>
      <c r="F156" s="161"/>
      <c r="G156" s="162"/>
      <c r="H156" s="1039">
        <v>395</v>
      </c>
      <c r="I156" s="1034">
        <f>H156*F156</f>
        <v>0</v>
      </c>
      <c r="J156" s="1039">
        <v>415</v>
      </c>
      <c r="K156" s="1034">
        <f>J156*F156</f>
        <v>0</v>
      </c>
      <c r="L156" s="1039">
        <v>435</v>
      </c>
      <c r="M156" s="1034">
        <f>L156*F156</f>
        <v>0</v>
      </c>
      <c r="N156" s="1039">
        <v>454</v>
      </c>
      <c r="O156" s="1034">
        <f>N156*F156</f>
        <v>0</v>
      </c>
      <c r="P156" s="1040"/>
      <c r="Q156" s="1034"/>
      <c r="R156" s="1040"/>
      <c r="S156" s="1034"/>
      <c r="T156" s="1041"/>
      <c r="U156" s="1042"/>
      <c r="V156" s="1038">
        <v>790</v>
      </c>
    </row>
    <row r="157" spans="2:22" ht="23.25" customHeight="1">
      <c r="B157" s="218"/>
      <c r="C157" s="231"/>
      <c r="D157" s="31" t="s">
        <v>2639</v>
      </c>
      <c r="E157" s="140"/>
      <c r="F157" s="120"/>
      <c r="G157" s="133"/>
      <c r="H157" s="121"/>
      <c r="I157" s="122"/>
      <c r="J157" s="124"/>
      <c r="K157" s="123"/>
      <c r="L157" s="124"/>
      <c r="M157" s="123"/>
      <c r="N157" s="124"/>
      <c r="O157" s="123"/>
      <c r="P157" s="124"/>
      <c r="Q157" s="123"/>
      <c r="R157" s="124"/>
      <c r="S157" s="123"/>
      <c r="T157" s="169"/>
      <c r="U157" s="170"/>
      <c r="V157" s="193"/>
    </row>
    <row r="158" spans="2:22" ht="23.25" customHeight="1">
      <c r="B158" s="218"/>
      <c r="C158" s="231"/>
      <c r="D158" s="29" t="s">
        <v>2640</v>
      </c>
      <c r="E158" s="140"/>
      <c r="F158" s="120"/>
      <c r="G158" s="133"/>
      <c r="H158" s="121"/>
      <c r="I158" s="122"/>
      <c r="J158" s="124"/>
      <c r="K158" s="123"/>
      <c r="L158" s="124"/>
      <c r="M158" s="123"/>
      <c r="N158" s="124"/>
      <c r="O158" s="123"/>
      <c r="P158" s="124"/>
      <c r="Q158" s="123"/>
      <c r="R158" s="124"/>
      <c r="S158" s="123"/>
      <c r="T158" s="169"/>
      <c r="U158" s="170"/>
      <c r="V158" s="193"/>
    </row>
    <row r="159" spans="2:22" ht="23.25" customHeight="1">
      <c r="B159" s="218"/>
      <c r="C159" s="231"/>
      <c r="D159" s="256" t="s">
        <v>2641</v>
      </c>
      <c r="E159" s="140"/>
      <c r="F159" s="120"/>
      <c r="G159" s="133"/>
      <c r="H159" s="121"/>
      <c r="I159" s="122"/>
      <c r="J159" s="124"/>
      <c r="K159" s="123"/>
      <c r="L159" s="124"/>
      <c r="M159" s="123"/>
      <c r="N159" s="124"/>
      <c r="O159" s="123"/>
      <c r="P159" s="124"/>
      <c r="Q159" s="123"/>
      <c r="R159" s="124"/>
      <c r="S159" s="123"/>
      <c r="T159" s="169"/>
      <c r="U159" s="170"/>
      <c r="V159" s="193"/>
    </row>
    <row r="160" spans="2:22" ht="23.25" customHeight="1">
      <c r="B160" s="218"/>
      <c r="C160" s="231">
        <v>3548</v>
      </c>
      <c r="D160" s="69" t="s">
        <v>2642</v>
      </c>
      <c r="E160" s="149"/>
      <c r="F160" s="161"/>
      <c r="G160" s="133"/>
      <c r="H160" s="163">
        <v>650</v>
      </c>
      <c r="I160" s="122">
        <f>H160*F160</f>
        <v>0</v>
      </c>
      <c r="J160" s="121">
        <v>683</v>
      </c>
      <c r="K160" s="122">
        <f>J160*F160</f>
        <v>0</v>
      </c>
      <c r="L160" s="121">
        <v>715</v>
      </c>
      <c r="M160" s="122">
        <f>L160*F160</f>
        <v>0</v>
      </c>
      <c r="N160" s="121">
        <v>748</v>
      </c>
      <c r="O160" s="122">
        <f>N160*F160</f>
        <v>0</v>
      </c>
      <c r="P160" s="176"/>
      <c r="Q160" s="122"/>
      <c r="R160" s="176"/>
      <c r="S160" s="122"/>
      <c r="T160" s="177"/>
      <c r="U160" s="178"/>
      <c r="V160" s="167">
        <v>1235</v>
      </c>
    </row>
    <row r="161" spans="2:22" ht="23.25" customHeight="1">
      <c r="B161" s="218"/>
      <c r="C161" s="231"/>
      <c r="D161" s="30" t="s">
        <v>2643</v>
      </c>
      <c r="E161" s="140"/>
      <c r="F161" s="120"/>
      <c r="G161" s="133"/>
      <c r="H161" s="121"/>
      <c r="I161" s="122"/>
      <c r="J161" s="124"/>
      <c r="K161" s="123"/>
      <c r="L161" s="124"/>
      <c r="M161" s="123"/>
      <c r="N161" s="124"/>
      <c r="O161" s="123"/>
      <c r="P161" s="124"/>
      <c r="Q161" s="123"/>
      <c r="R161" s="124"/>
      <c r="S161" s="123"/>
      <c r="T161" s="169"/>
      <c r="U161" s="170"/>
      <c r="V161" s="193"/>
    </row>
    <row r="162" spans="2:22" ht="23.25" customHeight="1">
      <c r="B162" s="218"/>
      <c r="C162" s="231"/>
      <c r="D162" s="29" t="s">
        <v>575</v>
      </c>
      <c r="E162" s="140"/>
      <c r="F162" s="120"/>
      <c r="G162" s="133"/>
      <c r="H162" s="121"/>
      <c r="I162" s="122"/>
      <c r="J162" s="124"/>
      <c r="K162" s="123"/>
      <c r="L162" s="124"/>
      <c r="M162" s="123"/>
      <c r="N162" s="124"/>
      <c r="O162" s="123"/>
      <c r="P162" s="124"/>
      <c r="Q162" s="123"/>
      <c r="R162" s="124"/>
      <c r="S162" s="123"/>
      <c r="T162" s="169"/>
      <c r="U162" s="170"/>
      <c r="V162" s="193"/>
    </row>
    <row r="163" spans="2:22" ht="23.25" customHeight="1">
      <c r="B163" s="218"/>
      <c r="C163" s="231"/>
      <c r="D163" s="29" t="s">
        <v>2632</v>
      </c>
      <c r="E163" s="140"/>
      <c r="F163" s="120"/>
      <c r="G163" s="133"/>
      <c r="H163" s="121"/>
      <c r="I163" s="122"/>
      <c r="J163" s="124"/>
      <c r="K163" s="123"/>
      <c r="L163" s="124"/>
      <c r="M163" s="123"/>
      <c r="N163" s="124"/>
      <c r="O163" s="123"/>
      <c r="P163" s="124"/>
      <c r="Q163" s="123"/>
      <c r="R163" s="124"/>
      <c r="S163" s="123"/>
      <c r="T163" s="169"/>
      <c r="U163" s="170"/>
      <c r="V163" s="193"/>
    </row>
    <row r="164" spans="2:22" ht="23.25" customHeight="1">
      <c r="B164" s="218"/>
      <c r="C164" s="231">
        <v>3549</v>
      </c>
      <c r="D164" s="69" t="s">
        <v>2644</v>
      </c>
      <c r="E164" s="149"/>
      <c r="F164" s="161"/>
      <c r="G164" s="133"/>
      <c r="H164" s="163">
        <v>800</v>
      </c>
      <c r="I164" s="122">
        <f>H164*F164</f>
        <v>0</v>
      </c>
      <c r="J164" s="121">
        <v>840</v>
      </c>
      <c r="K164" s="122">
        <f>J164*F164</f>
        <v>0</v>
      </c>
      <c r="L164" s="121">
        <v>880</v>
      </c>
      <c r="M164" s="122">
        <f>L164*F164</f>
        <v>0</v>
      </c>
      <c r="N164" s="121">
        <v>920</v>
      </c>
      <c r="O164" s="122">
        <f>N164*F164</f>
        <v>0</v>
      </c>
      <c r="P164" s="176"/>
      <c r="Q164" s="122"/>
      <c r="R164" s="176"/>
      <c r="S164" s="122"/>
      <c r="T164" s="177"/>
      <c r="U164" s="178"/>
      <c r="V164" s="167">
        <v>1520</v>
      </c>
    </row>
    <row r="165" spans="2:22" ht="23.25" customHeight="1">
      <c r="B165" s="218"/>
      <c r="C165" s="231"/>
      <c r="D165" s="29" t="s">
        <v>720</v>
      </c>
      <c r="E165" s="140"/>
      <c r="F165" s="120"/>
      <c r="G165" s="133"/>
      <c r="H165" s="121"/>
      <c r="I165" s="122"/>
      <c r="J165" s="124"/>
      <c r="K165" s="123"/>
      <c r="L165" s="124"/>
      <c r="M165" s="123"/>
      <c r="N165" s="124"/>
      <c r="O165" s="123"/>
      <c r="P165" s="124"/>
      <c r="Q165" s="123"/>
      <c r="R165" s="124"/>
      <c r="S165" s="123"/>
      <c r="T165" s="169"/>
      <c r="U165" s="170"/>
      <c r="V165" s="193"/>
    </row>
    <row r="166" spans="2:22" ht="23.25" customHeight="1">
      <c r="B166" s="218"/>
      <c r="C166" s="231"/>
      <c r="D166" s="34" t="s">
        <v>2645</v>
      </c>
      <c r="E166" s="140"/>
      <c r="F166" s="120"/>
      <c r="G166" s="133"/>
      <c r="H166" s="121"/>
      <c r="I166" s="122"/>
      <c r="J166" s="124"/>
      <c r="K166" s="123"/>
      <c r="L166" s="124"/>
      <c r="M166" s="123"/>
      <c r="N166" s="124"/>
      <c r="O166" s="123"/>
      <c r="P166" s="124"/>
      <c r="Q166" s="123"/>
      <c r="R166" s="124"/>
      <c r="S166" s="123"/>
      <c r="T166" s="169"/>
      <c r="U166" s="170"/>
      <c r="V166" s="193"/>
    </row>
    <row r="167" spans="2:22" ht="23.25" customHeight="1">
      <c r="B167" s="218"/>
      <c r="C167" s="231"/>
      <c r="D167" s="34" t="s">
        <v>2646</v>
      </c>
      <c r="E167" s="140"/>
      <c r="F167" s="120"/>
      <c r="G167" s="133"/>
      <c r="H167" s="121"/>
      <c r="I167" s="122"/>
      <c r="J167" s="124"/>
      <c r="K167" s="123"/>
      <c r="L167" s="124"/>
      <c r="M167" s="123"/>
      <c r="N167" s="124"/>
      <c r="O167" s="123"/>
      <c r="P167" s="124"/>
      <c r="Q167" s="123"/>
      <c r="R167" s="124"/>
      <c r="S167" s="123"/>
      <c r="T167" s="169"/>
      <c r="U167" s="170"/>
      <c r="V167" s="193"/>
    </row>
    <row r="168" spans="2:22" ht="23.25" customHeight="1">
      <c r="B168" s="218"/>
      <c r="C168" s="232"/>
      <c r="D168" s="34" t="s">
        <v>2647</v>
      </c>
      <c r="E168" s="135"/>
      <c r="F168" s="120"/>
      <c r="G168" s="133"/>
      <c r="H168" s="163"/>
      <c r="I168" s="122"/>
      <c r="J168" s="124"/>
      <c r="K168" s="123"/>
      <c r="L168" s="124"/>
      <c r="M168" s="123"/>
      <c r="N168" s="124"/>
      <c r="O168" s="123"/>
      <c r="P168" s="124"/>
      <c r="Q168" s="123"/>
      <c r="R168" s="124"/>
      <c r="S168" s="123"/>
      <c r="T168" s="169"/>
      <c r="U168" s="170"/>
      <c r="V168" s="193"/>
    </row>
    <row r="169" spans="2:22" ht="23.25" customHeight="1">
      <c r="B169" s="218"/>
      <c r="C169" s="231">
        <v>3550</v>
      </c>
      <c r="D169" s="69" t="s">
        <v>2648</v>
      </c>
      <c r="E169" s="150"/>
      <c r="F169" s="161"/>
      <c r="G169" s="162"/>
      <c r="H169" s="121">
        <v>540</v>
      </c>
      <c r="I169" s="122">
        <f>H169*F169</f>
        <v>0</v>
      </c>
      <c r="J169" s="121">
        <v>567</v>
      </c>
      <c r="K169" s="122">
        <f>J169*F169</f>
        <v>0</v>
      </c>
      <c r="L169" s="121">
        <v>594</v>
      </c>
      <c r="M169" s="122">
        <f>L169*F169</f>
        <v>0</v>
      </c>
      <c r="N169" s="121">
        <v>621</v>
      </c>
      <c r="O169" s="122">
        <f>N169*F169</f>
        <v>0</v>
      </c>
      <c r="P169" s="176"/>
      <c r="Q169" s="122"/>
      <c r="R169" s="176"/>
      <c r="S169" s="122"/>
      <c r="T169" s="177"/>
      <c r="U169" s="178"/>
      <c r="V169" s="167">
        <v>1025</v>
      </c>
    </row>
    <row r="170" spans="2:22" ht="23.25" customHeight="1">
      <c r="B170" s="218"/>
      <c r="C170" s="231"/>
      <c r="D170" s="29" t="s">
        <v>912</v>
      </c>
      <c r="E170" s="140"/>
      <c r="F170" s="120"/>
      <c r="G170" s="133"/>
      <c r="H170" s="121"/>
      <c r="I170" s="122"/>
      <c r="J170" s="124"/>
      <c r="K170" s="123"/>
      <c r="L170" s="124"/>
      <c r="M170" s="123"/>
      <c r="N170" s="124"/>
      <c r="O170" s="123"/>
      <c r="P170" s="124"/>
      <c r="Q170" s="123"/>
      <c r="R170" s="124"/>
      <c r="S170" s="123"/>
      <c r="T170" s="169"/>
      <c r="U170" s="170"/>
      <c r="V170" s="193"/>
    </row>
    <row r="171" spans="2:22" ht="23.25" customHeight="1">
      <c r="B171" s="218"/>
      <c r="C171" s="231"/>
      <c r="D171" s="29" t="s">
        <v>946</v>
      </c>
      <c r="E171" s="140"/>
      <c r="F171" s="120"/>
      <c r="G171" s="133"/>
      <c r="H171" s="121"/>
      <c r="I171" s="122"/>
      <c r="J171" s="124"/>
      <c r="K171" s="123"/>
      <c r="L171" s="124"/>
      <c r="M171" s="123"/>
      <c r="N171" s="124"/>
      <c r="O171" s="123"/>
      <c r="P171" s="124"/>
      <c r="Q171" s="123"/>
      <c r="R171" s="124"/>
      <c r="S171" s="123"/>
      <c r="T171" s="169"/>
      <c r="U171" s="170"/>
      <c r="V171" s="193"/>
    </row>
    <row r="172" spans="2:22" ht="23.25" customHeight="1">
      <c r="B172" s="218"/>
      <c r="C172" s="231"/>
      <c r="D172" s="34" t="s">
        <v>2647</v>
      </c>
      <c r="E172" s="140"/>
      <c r="F172" s="120"/>
      <c r="G172" s="133"/>
      <c r="H172" s="121"/>
      <c r="I172" s="122"/>
      <c r="J172" s="124"/>
      <c r="K172" s="123"/>
      <c r="L172" s="124"/>
      <c r="M172" s="123"/>
      <c r="N172" s="124"/>
      <c r="O172" s="123"/>
      <c r="P172" s="124"/>
      <c r="Q172" s="123"/>
      <c r="R172" s="124"/>
      <c r="S172" s="123"/>
      <c r="T172" s="169"/>
      <c r="U172" s="170"/>
      <c r="V172" s="193"/>
    </row>
    <row r="173" spans="2:22" ht="23.25" customHeight="1">
      <c r="B173" s="218"/>
      <c r="C173" s="231">
        <v>3551</v>
      </c>
      <c r="D173" s="69" t="s">
        <v>2649</v>
      </c>
      <c r="E173" s="149"/>
      <c r="F173" s="161"/>
      <c r="G173" s="133"/>
      <c r="H173" s="163">
        <v>500</v>
      </c>
      <c r="I173" s="122">
        <f>H173*F173</f>
        <v>0</v>
      </c>
      <c r="J173" s="121">
        <v>525</v>
      </c>
      <c r="K173" s="122">
        <f>J173*F173</f>
        <v>0</v>
      </c>
      <c r="L173" s="121">
        <v>550</v>
      </c>
      <c r="M173" s="122">
        <f>L173*F173</f>
        <v>0</v>
      </c>
      <c r="N173" s="121">
        <v>575</v>
      </c>
      <c r="O173" s="122">
        <f>N173*F173</f>
        <v>0</v>
      </c>
      <c r="P173" s="176"/>
      <c r="Q173" s="122"/>
      <c r="R173" s="176"/>
      <c r="S173" s="122"/>
      <c r="T173" s="177"/>
      <c r="U173" s="178"/>
      <c r="V173" s="167">
        <v>950</v>
      </c>
    </row>
    <row r="174" spans="2:22" ht="23.25" customHeight="1">
      <c r="B174" s="218"/>
      <c r="C174" s="231"/>
      <c r="D174" s="38" t="s">
        <v>1964</v>
      </c>
      <c r="E174" s="140"/>
      <c r="F174" s="120"/>
      <c r="G174" s="133"/>
      <c r="H174" s="121"/>
      <c r="I174" s="122"/>
      <c r="J174" s="124"/>
      <c r="K174" s="123"/>
      <c r="L174" s="124"/>
      <c r="M174" s="123"/>
      <c r="N174" s="124"/>
      <c r="O174" s="123"/>
      <c r="P174" s="124"/>
      <c r="Q174" s="123"/>
      <c r="R174" s="124"/>
      <c r="S174" s="123"/>
      <c r="T174" s="169"/>
      <c r="U174" s="170"/>
      <c r="V174" s="193"/>
    </row>
    <row r="175" spans="2:22" ht="23.25" customHeight="1">
      <c r="B175" s="218"/>
      <c r="C175" s="231"/>
      <c r="D175" s="36" t="s">
        <v>2650</v>
      </c>
      <c r="E175" s="140"/>
      <c r="F175" s="120"/>
      <c r="G175" s="133"/>
      <c r="H175" s="121"/>
      <c r="I175" s="122"/>
      <c r="J175" s="124"/>
      <c r="K175" s="123"/>
      <c r="L175" s="124"/>
      <c r="M175" s="123"/>
      <c r="N175" s="124"/>
      <c r="O175" s="123"/>
      <c r="P175" s="124"/>
      <c r="Q175" s="123"/>
      <c r="R175" s="124"/>
      <c r="S175" s="123"/>
      <c r="T175" s="169"/>
      <c r="U175" s="170"/>
      <c r="V175" s="193"/>
    </row>
    <row r="176" spans="2:22" ht="23.25" customHeight="1">
      <c r="B176" s="218"/>
      <c r="C176" s="233"/>
      <c r="D176" s="19" t="s">
        <v>2647</v>
      </c>
      <c r="E176" s="151"/>
      <c r="F176" s="120"/>
      <c r="G176" s="133"/>
      <c r="H176" s="121"/>
      <c r="I176" s="122"/>
      <c r="J176" s="124"/>
      <c r="K176" s="123"/>
      <c r="L176" s="124"/>
      <c r="M176" s="123"/>
      <c r="N176" s="124"/>
      <c r="O176" s="123"/>
      <c r="P176" s="124"/>
      <c r="Q176" s="123"/>
      <c r="R176" s="124"/>
      <c r="S176" s="123"/>
      <c r="T176" s="169"/>
      <c r="U176" s="170"/>
      <c r="V176" s="193"/>
    </row>
    <row r="177" spans="2:22" ht="28.5" customHeight="1">
      <c r="B177" s="218"/>
      <c r="C177" s="231">
        <v>3724</v>
      </c>
      <c r="D177" s="69" t="s">
        <v>2651</v>
      </c>
      <c r="E177" s="149"/>
      <c r="F177" s="161"/>
      <c r="G177" s="133"/>
      <c r="H177" s="163">
        <v>630</v>
      </c>
      <c r="I177" s="122">
        <f>H177*F177</f>
        <v>0</v>
      </c>
      <c r="J177" s="121">
        <v>662</v>
      </c>
      <c r="K177" s="122">
        <f>J177*F177</f>
        <v>0</v>
      </c>
      <c r="L177" s="121">
        <v>693</v>
      </c>
      <c r="M177" s="122">
        <f>L177*F177</f>
        <v>0</v>
      </c>
      <c r="N177" s="121">
        <v>725</v>
      </c>
      <c r="O177" s="122">
        <f>N177*F177</f>
        <v>0</v>
      </c>
      <c r="P177" s="176"/>
      <c r="Q177" s="122"/>
      <c r="R177" s="176"/>
      <c r="S177" s="122"/>
      <c r="T177" s="177"/>
      <c r="U177" s="178"/>
      <c r="V177" s="167">
        <v>1195</v>
      </c>
    </row>
    <row r="178" spans="2:22" ht="22.5" customHeight="1">
      <c r="B178" s="218"/>
      <c r="C178" s="231"/>
      <c r="D178" s="38" t="s">
        <v>2652</v>
      </c>
      <c r="E178" s="140"/>
      <c r="F178" s="120"/>
      <c r="G178" s="133"/>
      <c r="H178" s="121"/>
      <c r="I178" s="122"/>
      <c r="J178" s="124"/>
      <c r="K178" s="123"/>
      <c r="L178" s="124"/>
      <c r="M178" s="123"/>
      <c r="N178" s="124"/>
      <c r="O178" s="123"/>
      <c r="P178" s="124"/>
      <c r="Q178" s="123"/>
      <c r="R178" s="124"/>
      <c r="S178" s="123"/>
      <c r="T178" s="169"/>
      <c r="U178" s="170"/>
      <c r="V178" s="193"/>
    </row>
    <row r="179" spans="2:22" ht="22.5" customHeight="1">
      <c r="B179" s="218"/>
      <c r="C179" s="231"/>
      <c r="D179" s="36" t="s">
        <v>2653</v>
      </c>
      <c r="E179" s="140"/>
      <c r="F179" s="120"/>
      <c r="G179" s="133"/>
      <c r="H179" s="121"/>
      <c r="I179" s="122"/>
      <c r="J179" s="124"/>
      <c r="K179" s="123"/>
      <c r="L179" s="124"/>
      <c r="M179" s="123"/>
      <c r="N179" s="124"/>
      <c r="O179" s="123"/>
      <c r="P179" s="124"/>
      <c r="Q179" s="123"/>
      <c r="R179" s="124"/>
      <c r="S179" s="123"/>
      <c r="T179" s="169"/>
      <c r="U179" s="170"/>
      <c r="V179" s="193"/>
    </row>
    <row r="180" spans="2:22" ht="27" customHeight="1">
      <c r="B180" s="218"/>
      <c r="C180" s="233"/>
      <c r="D180" s="19" t="s">
        <v>2647</v>
      </c>
      <c r="E180" s="151"/>
      <c r="F180" s="120"/>
      <c r="G180" s="133"/>
      <c r="H180" s="121"/>
      <c r="I180" s="122"/>
      <c r="J180" s="124"/>
      <c r="K180" s="123"/>
      <c r="L180" s="124"/>
      <c r="M180" s="123"/>
      <c r="N180" s="124"/>
      <c r="O180" s="123"/>
      <c r="P180" s="124"/>
      <c r="Q180" s="123"/>
      <c r="R180" s="124"/>
      <c r="S180" s="123"/>
      <c r="T180" s="169"/>
      <c r="U180" s="170"/>
      <c r="V180" s="193"/>
    </row>
    <row r="181" spans="2:22" ht="23.25" customHeight="1">
      <c r="B181" s="218"/>
      <c r="C181" s="231">
        <v>3725</v>
      </c>
      <c r="D181" s="69" t="s">
        <v>2654</v>
      </c>
      <c r="E181" s="149"/>
      <c r="F181" s="161"/>
      <c r="G181" s="133"/>
      <c r="H181" s="163">
        <v>615</v>
      </c>
      <c r="I181" s="122">
        <f>H181*F181</f>
        <v>0</v>
      </c>
      <c r="J181" s="121">
        <v>646</v>
      </c>
      <c r="K181" s="122">
        <f>J181*F181</f>
        <v>0</v>
      </c>
      <c r="L181" s="121">
        <v>677</v>
      </c>
      <c r="M181" s="122">
        <f>L181*F181</f>
        <v>0</v>
      </c>
      <c r="N181" s="121">
        <v>707</v>
      </c>
      <c r="O181" s="122">
        <f>N181*F181</f>
        <v>0</v>
      </c>
      <c r="P181" s="176"/>
      <c r="Q181" s="122"/>
      <c r="R181" s="176"/>
      <c r="S181" s="122"/>
      <c r="T181" s="177"/>
      <c r="U181" s="178"/>
      <c r="V181" s="167">
        <v>1165</v>
      </c>
    </row>
    <row r="182" spans="2:22" ht="23.25" customHeight="1">
      <c r="B182" s="218"/>
      <c r="C182" s="231"/>
      <c r="D182" s="30" t="s">
        <v>502</v>
      </c>
      <c r="E182" s="140"/>
      <c r="F182" s="120"/>
      <c r="G182" s="133"/>
      <c r="H182" s="121"/>
      <c r="I182" s="122"/>
      <c r="J182" s="124"/>
      <c r="K182" s="123"/>
      <c r="L182" s="124"/>
      <c r="M182" s="123"/>
      <c r="N182" s="124"/>
      <c r="O182" s="123"/>
      <c r="P182" s="124"/>
      <c r="Q182" s="123"/>
      <c r="R182" s="124"/>
      <c r="S182" s="123"/>
      <c r="T182" s="169"/>
      <c r="U182" s="170"/>
      <c r="V182" s="193"/>
    </row>
    <row r="183" spans="2:22" ht="23.25" customHeight="1">
      <c r="B183" s="218"/>
      <c r="C183" s="231"/>
      <c r="D183" s="29" t="s">
        <v>509</v>
      </c>
      <c r="E183" s="140"/>
      <c r="F183" s="120"/>
      <c r="G183" s="133"/>
      <c r="H183" s="121"/>
      <c r="I183" s="122"/>
      <c r="J183" s="124"/>
      <c r="K183" s="123"/>
      <c r="L183" s="124"/>
      <c r="M183" s="123"/>
      <c r="N183" s="124"/>
      <c r="O183" s="123"/>
      <c r="P183" s="124"/>
      <c r="Q183" s="123"/>
      <c r="R183" s="124"/>
      <c r="S183" s="123"/>
      <c r="T183" s="169"/>
      <c r="U183" s="170"/>
      <c r="V183" s="193"/>
    </row>
    <row r="184" spans="2:22" ht="23.25" customHeight="1">
      <c r="B184" s="218"/>
      <c r="C184" s="233"/>
      <c r="D184" s="19" t="s">
        <v>2655</v>
      </c>
      <c r="E184" s="151"/>
      <c r="F184" s="120"/>
      <c r="G184" s="133"/>
      <c r="H184" s="121"/>
      <c r="I184" s="122"/>
      <c r="J184" s="124"/>
      <c r="K184" s="123"/>
      <c r="L184" s="124"/>
      <c r="M184" s="123"/>
      <c r="N184" s="124"/>
      <c r="O184" s="123"/>
      <c r="P184" s="124"/>
      <c r="Q184" s="123"/>
      <c r="R184" s="124"/>
      <c r="S184" s="123"/>
      <c r="T184" s="169"/>
      <c r="U184" s="170"/>
      <c r="V184" s="193"/>
    </row>
    <row r="185" spans="2:22" ht="23.25" customHeight="1">
      <c r="B185" s="218" t="s">
        <v>2656</v>
      </c>
      <c r="C185" s="234">
        <v>3662</v>
      </c>
      <c r="D185" s="125" t="s">
        <v>2657</v>
      </c>
      <c r="E185" s="152"/>
      <c r="F185" s="129"/>
      <c r="G185" s="133"/>
      <c r="H185" s="121">
        <v>500</v>
      </c>
      <c r="I185" s="122">
        <f>H185*F185</f>
        <v>0</v>
      </c>
      <c r="J185" s="121">
        <v>525</v>
      </c>
      <c r="K185" s="122"/>
      <c r="L185" s="121">
        <v>550</v>
      </c>
      <c r="M185" s="122"/>
      <c r="N185" s="121">
        <v>575</v>
      </c>
      <c r="O185" s="122"/>
      <c r="P185" s="121"/>
      <c r="Q185" s="122"/>
      <c r="R185" s="121"/>
      <c r="S185" s="122"/>
      <c r="T185" s="177"/>
      <c r="U185" s="178"/>
      <c r="V185" s="167">
        <v>950</v>
      </c>
    </row>
    <row r="186" spans="2:22" ht="23.25" customHeight="1">
      <c r="B186" s="218"/>
      <c r="C186" s="234"/>
      <c r="D186" s="109" t="s">
        <v>2658</v>
      </c>
      <c r="E186" s="153"/>
      <c r="F186" s="120"/>
      <c r="G186" s="133"/>
      <c r="H186" s="121"/>
      <c r="I186" s="122"/>
      <c r="J186" s="121"/>
      <c r="K186" s="122"/>
      <c r="L186" s="121"/>
      <c r="M186" s="122"/>
      <c r="N186" s="121"/>
      <c r="O186" s="122"/>
      <c r="P186" s="121"/>
      <c r="Q186" s="122"/>
      <c r="R186" s="121"/>
      <c r="S186" s="122"/>
      <c r="T186" s="177"/>
      <c r="U186" s="178"/>
      <c r="V186" s="167"/>
    </row>
    <row r="187" spans="2:22" ht="23.25" customHeight="1">
      <c r="B187" s="218"/>
      <c r="C187" s="234"/>
      <c r="D187" s="109" t="s">
        <v>2659</v>
      </c>
      <c r="E187" s="153"/>
      <c r="F187" s="120"/>
      <c r="G187" s="133"/>
      <c r="H187" s="121"/>
      <c r="I187" s="122"/>
      <c r="J187" s="121"/>
      <c r="K187" s="122"/>
      <c r="L187" s="121"/>
      <c r="M187" s="122"/>
      <c r="N187" s="121"/>
      <c r="O187" s="122"/>
      <c r="P187" s="121"/>
      <c r="Q187" s="122"/>
      <c r="R187" s="121"/>
      <c r="S187" s="122"/>
      <c r="T187" s="177"/>
      <c r="U187" s="178"/>
      <c r="V187" s="167"/>
    </row>
    <row r="188" spans="2:22" ht="23.25" customHeight="1">
      <c r="B188" s="218"/>
      <c r="C188" s="234"/>
      <c r="D188" s="34" t="s">
        <v>2660</v>
      </c>
      <c r="E188" s="153"/>
      <c r="F188" s="120"/>
      <c r="G188" s="133"/>
      <c r="H188" s="121"/>
      <c r="I188" s="122"/>
      <c r="J188" s="121"/>
      <c r="K188" s="122"/>
      <c r="L188" s="121"/>
      <c r="M188" s="122"/>
      <c r="N188" s="121"/>
      <c r="O188" s="122"/>
      <c r="P188" s="121"/>
      <c r="Q188" s="122"/>
      <c r="R188" s="121"/>
      <c r="S188" s="122"/>
      <c r="T188" s="177"/>
      <c r="U188" s="178"/>
      <c r="V188" s="167"/>
    </row>
    <row r="189" spans="2:22" ht="23.25" customHeight="1">
      <c r="B189" s="218" t="s">
        <v>2661</v>
      </c>
      <c r="C189" s="234">
        <v>3663</v>
      </c>
      <c r="D189" s="125" t="s">
        <v>2662</v>
      </c>
      <c r="E189" s="153"/>
      <c r="F189" s="129"/>
      <c r="G189" s="133"/>
      <c r="H189" s="121">
        <v>500</v>
      </c>
      <c r="I189" s="122">
        <f>H189*F189</f>
        <v>0</v>
      </c>
      <c r="J189" s="121">
        <v>525</v>
      </c>
      <c r="K189" s="122"/>
      <c r="L189" s="121">
        <v>550</v>
      </c>
      <c r="M189" s="122"/>
      <c r="N189" s="121">
        <v>575</v>
      </c>
      <c r="O189" s="122"/>
      <c r="P189" s="121"/>
      <c r="Q189" s="122"/>
      <c r="R189" s="121"/>
      <c r="S189" s="122"/>
      <c r="T189" s="177"/>
      <c r="U189" s="178"/>
      <c r="V189" s="167">
        <v>950</v>
      </c>
    </row>
    <row r="190" spans="2:22" ht="23.25" customHeight="1">
      <c r="B190" s="218"/>
      <c r="C190" s="234"/>
      <c r="D190" s="109" t="s">
        <v>2663</v>
      </c>
      <c r="E190" s="153"/>
      <c r="F190" s="120"/>
      <c r="G190" s="133"/>
      <c r="H190" s="121"/>
      <c r="I190" s="122"/>
      <c r="J190" s="121"/>
      <c r="K190" s="122"/>
      <c r="L190" s="121"/>
      <c r="M190" s="122"/>
      <c r="N190" s="121"/>
      <c r="O190" s="122"/>
      <c r="P190" s="121"/>
      <c r="Q190" s="122"/>
      <c r="R190" s="121"/>
      <c r="S190" s="122"/>
      <c r="T190" s="177"/>
      <c r="U190" s="178"/>
      <c r="V190" s="167"/>
    </row>
    <row r="191" spans="2:22" ht="23.25" customHeight="1">
      <c r="B191" s="218"/>
      <c r="C191" s="234"/>
      <c r="D191" s="109" t="s">
        <v>76</v>
      </c>
      <c r="E191" s="153"/>
      <c r="F191" s="120"/>
      <c r="G191" s="133"/>
      <c r="H191" s="121"/>
      <c r="I191" s="122"/>
      <c r="J191" s="121"/>
      <c r="K191" s="122"/>
      <c r="L191" s="121"/>
      <c r="M191" s="122"/>
      <c r="N191" s="121"/>
      <c r="O191" s="122"/>
      <c r="P191" s="121"/>
      <c r="Q191" s="122"/>
      <c r="R191" s="121"/>
      <c r="S191" s="122"/>
      <c r="T191" s="177"/>
      <c r="U191" s="178"/>
      <c r="V191" s="167"/>
    </row>
    <row r="192" spans="2:22" ht="23.25" customHeight="1">
      <c r="B192" s="218"/>
      <c r="C192" s="234"/>
      <c r="D192" s="34" t="s">
        <v>2660</v>
      </c>
      <c r="E192" s="153"/>
      <c r="F192" s="120"/>
      <c r="G192" s="133"/>
      <c r="H192" s="121"/>
      <c r="I192" s="122"/>
      <c r="J192" s="121"/>
      <c r="K192" s="122"/>
      <c r="L192" s="121"/>
      <c r="M192" s="122"/>
      <c r="N192" s="121"/>
      <c r="O192" s="122"/>
      <c r="P192" s="121"/>
      <c r="Q192" s="122"/>
      <c r="R192" s="121"/>
      <c r="S192" s="122"/>
      <c r="T192" s="177"/>
      <c r="U192" s="178"/>
      <c r="V192" s="167"/>
    </row>
    <row r="193" spans="2:22" ht="23.25" customHeight="1">
      <c r="B193" s="218" t="s">
        <v>2664</v>
      </c>
      <c r="C193" s="234">
        <v>3664</v>
      </c>
      <c r="D193" s="125" t="s">
        <v>2665</v>
      </c>
      <c r="E193" s="153"/>
      <c r="F193" s="129"/>
      <c r="G193" s="133"/>
      <c r="H193" s="121">
        <v>500</v>
      </c>
      <c r="I193" s="122">
        <f>H193*F193</f>
        <v>0</v>
      </c>
      <c r="J193" s="121">
        <v>525</v>
      </c>
      <c r="K193" s="122"/>
      <c r="L193" s="121">
        <v>550</v>
      </c>
      <c r="M193" s="122"/>
      <c r="N193" s="121">
        <v>575</v>
      </c>
      <c r="O193" s="122"/>
      <c r="P193" s="121"/>
      <c r="Q193" s="122"/>
      <c r="R193" s="121"/>
      <c r="S193" s="122"/>
      <c r="T193" s="177"/>
      <c r="U193" s="178"/>
      <c r="V193" s="167">
        <v>950</v>
      </c>
    </row>
    <row r="194" spans="2:22" ht="23.25" customHeight="1">
      <c r="B194" s="218"/>
      <c r="C194" s="234"/>
      <c r="D194" s="126" t="s">
        <v>2594</v>
      </c>
      <c r="E194" s="154"/>
      <c r="F194" s="127"/>
      <c r="G194" s="133"/>
      <c r="H194" s="121"/>
      <c r="I194" s="122"/>
      <c r="J194" s="121"/>
      <c r="K194" s="122"/>
      <c r="L194" s="121"/>
      <c r="M194" s="122"/>
      <c r="N194" s="121"/>
      <c r="O194" s="122"/>
      <c r="P194" s="121"/>
      <c r="Q194" s="122"/>
      <c r="R194" s="121"/>
      <c r="S194" s="122"/>
      <c r="T194" s="177"/>
      <c r="U194" s="178"/>
      <c r="V194" s="167"/>
    </row>
    <row r="195" spans="2:22" ht="23.25" customHeight="1">
      <c r="B195" s="218"/>
      <c r="C195" s="234"/>
      <c r="D195" s="126" t="s">
        <v>2666</v>
      </c>
      <c r="E195" s="154"/>
      <c r="F195" s="127"/>
      <c r="G195" s="133"/>
      <c r="H195" s="121"/>
      <c r="I195" s="122"/>
      <c r="J195" s="121"/>
      <c r="K195" s="122"/>
      <c r="L195" s="121"/>
      <c r="M195" s="122"/>
      <c r="N195" s="121"/>
      <c r="O195" s="122"/>
      <c r="P195" s="121"/>
      <c r="Q195" s="122"/>
      <c r="R195" s="121"/>
      <c r="S195" s="122"/>
      <c r="T195" s="177"/>
      <c r="U195" s="178"/>
      <c r="V195" s="167"/>
    </row>
    <row r="196" spans="2:22" ht="23.25" customHeight="1">
      <c r="B196" s="218"/>
      <c r="C196" s="234"/>
      <c r="D196" s="34" t="s">
        <v>2660</v>
      </c>
      <c r="E196" s="154"/>
      <c r="F196" s="127"/>
      <c r="G196" s="133"/>
      <c r="H196" s="121"/>
      <c r="I196" s="122"/>
      <c r="J196" s="121"/>
      <c r="K196" s="122"/>
      <c r="L196" s="121"/>
      <c r="M196" s="122"/>
      <c r="N196" s="121"/>
      <c r="O196" s="122"/>
      <c r="P196" s="121"/>
      <c r="Q196" s="122"/>
      <c r="R196" s="121"/>
      <c r="S196" s="122"/>
      <c r="T196" s="177"/>
      <c r="U196" s="178"/>
      <c r="V196" s="167"/>
    </row>
    <row r="197" spans="2:22" ht="23.25" customHeight="1">
      <c r="B197" s="218" t="s">
        <v>2667</v>
      </c>
      <c r="C197" s="234">
        <v>3665</v>
      </c>
      <c r="D197" s="125" t="s">
        <v>2668</v>
      </c>
      <c r="E197" s="153"/>
      <c r="F197" s="129"/>
      <c r="G197" s="133"/>
      <c r="H197" s="121">
        <v>685</v>
      </c>
      <c r="I197" s="122">
        <f>H197*F197</f>
        <v>0</v>
      </c>
      <c r="J197" s="121">
        <v>719</v>
      </c>
      <c r="K197" s="122"/>
      <c r="L197" s="121">
        <v>754</v>
      </c>
      <c r="M197" s="122"/>
      <c r="N197" s="121">
        <v>788</v>
      </c>
      <c r="O197" s="122"/>
      <c r="P197" s="121"/>
      <c r="Q197" s="122"/>
      <c r="R197" s="121"/>
      <c r="S197" s="122"/>
      <c r="T197" s="177"/>
      <c r="U197" s="178"/>
      <c r="V197" s="167">
        <v>1300</v>
      </c>
    </row>
    <row r="198" spans="2:22" ht="23.25" customHeight="1">
      <c r="B198" s="218"/>
      <c r="C198" s="234"/>
      <c r="D198" s="126" t="s">
        <v>112</v>
      </c>
      <c r="E198" s="154"/>
      <c r="F198" s="127"/>
      <c r="G198" s="133"/>
      <c r="H198" s="121"/>
      <c r="I198" s="122"/>
      <c r="J198" s="121"/>
      <c r="K198" s="122"/>
      <c r="L198" s="121"/>
      <c r="M198" s="122"/>
      <c r="N198" s="121"/>
      <c r="O198" s="122"/>
      <c r="P198" s="121"/>
      <c r="Q198" s="122"/>
      <c r="R198" s="121"/>
      <c r="S198" s="122"/>
      <c r="T198" s="177"/>
      <c r="U198" s="178"/>
      <c r="V198" s="167"/>
    </row>
    <row r="199" spans="2:22" ht="23.25" customHeight="1">
      <c r="B199" s="218"/>
      <c r="C199" s="234"/>
      <c r="D199" s="126" t="s">
        <v>2669</v>
      </c>
      <c r="E199" s="154"/>
      <c r="F199" s="127"/>
      <c r="G199" s="133"/>
      <c r="H199" s="121"/>
      <c r="I199" s="122"/>
      <c r="J199" s="121"/>
      <c r="K199" s="122"/>
      <c r="L199" s="121"/>
      <c r="M199" s="122"/>
      <c r="N199" s="121"/>
      <c r="O199" s="122"/>
      <c r="P199" s="121"/>
      <c r="Q199" s="122"/>
      <c r="R199" s="121"/>
      <c r="S199" s="122"/>
      <c r="T199" s="177"/>
      <c r="U199" s="178"/>
      <c r="V199" s="167"/>
    </row>
    <row r="200" spans="2:22" ht="23.25" customHeight="1">
      <c r="B200" s="218"/>
      <c r="C200" s="234"/>
      <c r="D200" s="34" t="s">
        <v>2444</v>
      </c>
      <c r="E200" s="154"/>
      <c r="F200" s="127"/>
      <c r="G200" s="133"/>
      <c r="H200" s="121"/>
      <c r="I200" s="122"/>
      <c r="J200" s="121"/>
      <c r="K200" s="122"/>
      <c r="L200" s="121"/>
      <c r="M200" s="122"/>
      <c r="N200" s="121"/>
      <c r="O200" s="122"/>
      <c r="P200" s="121"/>
      <c r="Q200" s="122"/>
      <c r="R200" s="121"/>
      <c r="S200" s="122"/>
      <c r="T200" s="177"/>
      <c r="U200" s="178"/>
      <c r="V200" s="167"/>
    </row>
    <row r="201" spans="2:22" ht="23.25" customHeight="1">
      <c r="B201" s="218" t="s">
        <v>2670</v>
      </c>
      <c r="C201" s="234">
        <v>4583</v>
      </c>
      <c r="D201" s="125" t="s">
        <v>2671</v>
      </c>
      <c r="E201" s="153"/>
      <c r="F201" s="129"/>
      <c r="G201" s="133"/>
      <c r="H201" s="121">
        <v>370</v>
      </c>
      <c r="I201" s="122">
        <f>H201*F201</f>
        <v>0</v>
      </c>
      <c r="J201" s="121">
        <v>389</v>
      </c>
      <c r="K201" s="122"/>
      <c r="L201" s="121">
        <v>407</v>
      </c>
      <c r="M201" s="122"/>
      <c r="N201" s="121">
        <v>426</v>
      </c>
      <c r="O201" s="122"/>
      <c r="P201" s="121"/>
      <c r="Q201" s="122"/>
      <c r="R201" s="121"/>
      <c r="S201" s="122"/>
      <c r="T201" s="177"/>
      <c r="U201" s="178"/>
      <c r="V201" s="167">
        <v>700</v>
      </c>
    </row>
    <row r="202" spans="2:22" ht="23.25" customHeight="1">
      <c r="B202" s="218"/>
      <c r="C202" s="234"/>
      <c r="D202" s="126" t="s">
        <v>2672</v>
      </c>
      <c r="E202" s="154"/>
      <c r="F202" s="127"/>
      <c r="G202" s="133"/>
      <c r="H202" s="121"/>
      <c r="I202" s="122"/>
      <c r="J202" s="121"/>
      <c r="K202" s="122"/>
      <c r="L202" s="121"/>
      <c r="M202" s="122"/>
      <c r="N202" s="121"/>
      <c r="O202" s="122"/>
      <c r="P202" s="121"/>
      <c r="Q202" s="122"/>
      <c r="R202" s="121"/>
      <c r="S202" s="122"/>
      <c r="T202" s="177"/>
      <c r="U202" s="178"/>
      <c r="V202" s="167"/>
    </row>
    <row r="203" spans="2:22" ht="23.25" customHeight="1">
      <c r="B203" s="218"/>
      <c r="C203" s="234"/>
      <c r="D203" s="126" t="s">
        <v>2673</v>
      </c>
      <c r="E203" s="154"/>
      <c r="F203" s="127"/>
      <c r="G203" s="133"/>
      <c r="H203" s="121"/>
      <c r="I203" s="122"/>
      <c r="J203" s="121"/>
      <c r="K203" s="122"/>
      <c r="L203" s="121"/>
      <c r="M203" s="122"/>
      <c r="N203" s="121"/>
      <c r="O203" s="122"/>
      <c r="P203" s="121"/>
      <c r="Q203" s="122"/>
      <c r="R203" s="121"/>
      <c r="S203" s="122"/>
      <c r="T203" s="177"/>
      <c r="U203" s="178"/>
      <c r="V203" s="167"/>
    </row>
    <row r="204" spans="2:22" ht="23.25" customHeight="1">
      <c r="B204" s="218"/>
      <c r="C204" s="234"/>
      <c r="D204" s="34" t="s">
        <v>2674</v>
      </c>
      <c r="E204" s="154"/>
      <c r="F204" s="127"/>
      <c r="G204" s="133"/>
      <c r="H204" s="121"/>
      <c r="I204" s="122"/>
      <c r="J204" s="121"/>
      <c r="K204" s="122"/>
      <c r="L204" s="121"/>
      <c r="M204" s="122"/>
      <c r="N204" s="121"/>
      <c r="O204" s="122"/>
      <c r="P204" s="121"/>
      <c r="Q204" s="122"/>
      <c r="R204" s="121"/>
      <c r="S204" s="122"/>
      <c r="T204" s="177"/>
      <c r="U204" s="178"/>
      <c r="V204" s="167"/>
    </row>
    <row r="205" spans="2:22" ht="23.25" customHeight="1">
      <c r="B205" s="218" t="s">
        <v>2675</v>
      </c>
      <c r="C205" s="234">
        <v>4584</v>
      </c>
      <c r="D205" s="125" t="s">
        <v>2676</v>
      </c>
      <c r="E205" s="154"/>
      <c r="F205" s="129"/>
      <c r="G205" s="133"/>
      <c r="H205" s="121">
        <v>370</v>
      </c>
      <c r="I205" s="122">
        <f>H205*F205</f>
        <v>0</v>
      </c>
      <c r="J205" s="121">
        <v>389</v>
      </c>
      <c r="K205" s="122"/>
      <c r="L205" s="121">
        <v>407</v>
      </c>
      <c r="M205" s="122"/>
      <c r="N205" s="121">
        <v>426</v>
      </c>
      <c r="O205" s="122"/>
      <c r="P205" s="121"/>
      <c r="Q205" s="122"/>
      <c r="R205" s="121"/>
      <c r="S205" s="122"/>
      <c r="T205" s="177"/>
      <c r="U205" s="178"/>
      <c r="V205" s="167">
        <v>700</v>
      </c>
    </row>
    <row r="206" spans="2:22" ht="23.25" customHeight="1">
      <c r="B206" s="218"/>
      <c r="C206" s="234"/>
      <c r="D206" s="126" t="s">
        <v>2677</v>
      </c>
      <c r="E206" s="154"/>
      <c r="F206" s="127"/>
      <c r="G206" s="133"/>
      <c r="H206" s="121"/>
      <c r="I206" s="122"/>
      <c r="J206" s="121"/>
      <c r="K206" s="122"/>
      <c r="L206" s="121"/>
      <c r="M206" s="122"/>
      <c r="N206" s="121"/>
      <c r="O206" s="122"/>
      <c r="P206" s="121"/>
      <c r="Q206" s="122"/>
      <c r="R206" s="121"/>
      <c r="S206" s="122"/>
      <c r="T206" s="177"/>
      <c r="U206" s="178"/>
      <c r="V206" s="167"/>
    </row>
    <row r="207" spans="2:22" ht="23.25" customHeight="1">
      <c r="B207" s="218"/>
      <c r="C207" s="234"/>
      <c r="D207" s="126" t="s">
        <v>2678</v>
      </c>
      <c r="E207" s="154"/>
      <c r="F207" s="127"/>
      <c r="G207" s="133"/>
      <c r="H207" s="121"/>
      <c r="I207" s="122"/>
      <c r="J207" s="121"/>
      <c r="K207" s="122"/>
      <c r="L207" s="121"/>
      <c r="M207" s="122"/>
      <c r="N207" s="121"/>
      <c r="O207" s="122"/>
      <c r="P207" s="121"/>
      <c r="Q207" s="122"/>
      <c r="R207" s="121"/>
      <c r="S207" s="122"/>
      <c r="T207" s="177"/>
      <c r="U207" s="178"/>
      <c r="V207" s="167"/>
    </row>
    <row r="208" spans="2:22" ht="23.25" customHeight="1">
      <c r="B208" s="218"/>
      <c r="C208" s="234"/>
      <c r="D208" s="34" t="s">
        <v>2674</v>
      </c>
      <c r="E208" s="154"/>
      <c r="F208" s="127"/>
      <c r="G208" s="133"/>
      <c r="H208" s="121"/>
      <c r="I208" s="122"/>
      <c r="J208" s="121"/>
      <c r="K208" s="122"/>
      <c r="L208" s="121"/>
      <c r="M208" s="122"/>
      <c r="N208" s="121"/>
      <c r="O208" s="122"/>
      <c r="P208" s="121"/>
      <c r="Q208" s="122"/>
      <c r="R208" s="121"/>
      <c r="S208" s="122"/>
      <c r="T208" s="177"/>
      <c r="U208" s="178"/>
      <c r="V208" s="167"/>
    </row>
    <row r="209" spans="2:22" ht="23.25" customHeight="1">
      <c r="B209" s="218" t="s">
        <v>2679</v>
      </c>
      <c r="C209" s="234">
        <v>4585</v>
      </c>
      <c r="D209" s="125" t="s">
        <v>2680</v>
      </c>
      <c r="E209" s="154"/>
      <c r="F209" s="129"/>
      <c r="G209" s="133"/>
      <c r="H209" s="121">
        <v>535</v>
      </c>
      <c r="I209" s="122">
        <f>H209*F209</f>
        <v>0</v>
      </c>
      <c r="J209" s="121">
        <v>562</v>
      </c>
      <c r="K209" s="122"/>
      <c r="L209" s="121">
        <v>589</v>
      </c>
      <c r="M209" s="122"/>
      <c r="N209" s="121">
        <v>615</v>
      </c>
      <c r="O209" s="122"/>
      <c r="P209" s="121"/>
      <c r="Q209" s="122"/>
      <c r="R209" s="121"/>
      <c r="S209" s="122"/>
      <c r="T209" s="177"/>
      <c r="U209" s="178"/>
      <c r="V209" s="167">
        <v>1000</v>
      </c>
    </row>
    <row r="210" spans="2:22" ht="23.25" customHeight="1">
      <c r="B210" s="218"/>
      <c r="C210" s="234"/>
      <c r="D210" s="126" t="s">
        <v>2681</v>
      </c>
      <c r="E210" s="154"/>
      <c r="F210" s="127"/>
      <c r="G210" s="133"/>
      <c r="H210" s="121"/>
      <c r="I210" s="122"/>
      <c r="J210" s="121"/>
      <c r="K210" s="122"/>
      <c r="L210" s="121"/>
      <c r="M210" s="122"/>
      <c r="N210" s="121"/>
      <c r="O210" s="122"/>
      <c r="P210" s="121"/>
      <c r="Q210" s="122"/>
      <c r="R210" s="121"/>
      <c r="S210" s="122"/>
      <c r="T210" s="177"/>
      <c r="U210" s="178"/>
      <c r="V210" s="167"/>
    </row>
    <row r="211" spans="2:22" ht="23.25" customHeight="1">
      <c r="B211" s="218"/>
      <c r="C211" s="234"/>
      <c r="D211" s="126" t="s">
        <v>2682</v>
      </c>
      <c r="E211" s="154"/>
      <c r="F211" s="127"/>
      <c r="G211" s="133"/>
      <c r="H211" s="121"/>
      <c r="I211" s="122"/>
      <c r="J211" s="121"/>
      <c r="K211" s="122"/>
      <c r="L211" s="121"/>
      <c r="M211" s="122"/>
      <c r="N211" s="121"/>
      <c r="O211" s="122"/>
      <c r="P211" s="121"/>
      <c r="Q211" s="122"/>
      <c r="R211" s="121"/>
      <c r="S211" s="122"/>
      <c r="T211" s="177"/>
      <c r="U211" s="178"/>
      <c r="V211" s="167"/>
    </row>
    <row r="212" spans="2:22" ht="23.25" customHeight="1">
      <c r="B212" s="218"/>
      <c r="C212" s="234"/>
      <c r="D212" s="34" t="s">
        <v>2444</v>
      </c>
      <c r="E212" s="154"/>
      <c r="F212" s="127"/>
      <c r="G212" s="133"/>
      <c r="H212" s="121"/>
      <c r="I212" s="122"/>
      <c r="J212" s="121"/>
      <c r="K212" s="122"/>
      <c r="L212" s="121"/>
      <c r="M212" s="122"/>
      <c r="N212" s="121"/>
      <c r="O212" s="122"/>
      <c r="P212" s="121"/>
      <c r="Q212" s="122"/>
      <c r="R212" s="121"/>
      <c r="S212" s="122"/>
      <c r="T212" s="177"/>
      <c r="U212" s="178"/>
      <c r="V212" s="167"/>
    </row>
    <row r="213" spans="2:22" ht="23.25" customHeight="1">
      <c r="B213" s="218" t="s">
        <v>2683</v>
      </c>
      <c r="C213" s="234">
        <v>4586</v>
      </c>
      <c r="D213" s="125" t="s">
        <v>2684</v>
      </c>
      <c r="E213" s="154"/>
      <c r="F213" s="129"/>
      <c r="G213" s="133"/>
      <c r="H213" s="121">
        <v>535</v>
      </c>
      <c r="I213" s="122">
        <f>H213*F213</f>
        <v>0</v>
      </c>
      <c r="J213" s="121">
        <v>562</v>
      </c>
      <c r="K213" s="122"/>
      <c r="L213" s="121">
        <v>589</v>
      </c>
      <c r="M213" s="122"/>
      <c r="N213" s="121">
        <v>615</v>
      </c>
      <c r="O213" s="122"/>
      <c r="P213" s="121"/>
      <c r="Q213" s="122"/>
      <c r="R213" s="121"/>
      <c r="S213" s="122"/>
      <c r="T213" s="177"/>
      <c r="U213" s="178"/>
      <c r="V213" s="167">
        <v>1000</v>
      </c>
    </row>
    <row r="214" spans="2:22" ht="23.25" customHeight="1">
      <c r="B214" s="218"/>
      <c r="C214" s="234"/>
      <c r="D214" s="126" t="s">
        <v>2685</v>
      </c>
      <c r="E214" s="154"/>
      <c r="F214" s="127"/>
      <c r="G214" s="133"/>
      <c r="H214" s="121"/>
      <c r="I214" s="122"/>
      <c r="J214" s="121"/>
      <c r="K214" s="122"/>
      <c r="L214" s="121"/>
      <c r="M214" s="122"/>
      <c r="N214" s="121"/>
      <c r="O214" s="122"/>
      <c r="P214" s="121"/>
      <c r="Q214" s="122"/>
      <c r="R214" s="121"/>
      <c r="S214" s="122"/>
      <c r="T214" s="177"/>
      <c r="U214" s="178"/>
      <c r="V214" s="167"/>
    </row>
    <row r="215" spans="2:22" ht="23.25" customHeight="1">
      <c r="B215" s="218"/>
      <c r="C215" s="234"/>
      <c r="D215" s="126" t="s">
        <v>2681</v>
      </c>
      <c r="E215" s="154"/>
      <c r="F215" s="127"/>
      <c r="G215" s="133"/>
      <c r="H215" s="121"/>
      <c r="I215" s="122"/>
      <c r="J215" s="121"/>
      <c r="K215" s="122"/>
      <c r="L215" s="121"/>
      <c r="M215" s="122"/>
      <c r="N215" s="121"/>
      <c r="O215" s="122"/>
      <c r="P215" s="121"/>
      <c r="Q215" s="122"/>
      <c r="R215" s="121"/>
      <c r="S215" s="122"/>
      <c r="T215" s="177"/>
      <c r="U215" s="178"/>
      <c r="V215" s="167"/>
    </row>
    <row r="216" spans="2:22" ht="23.25" customHeight="1">
      <c r="B216" s="218"/>
      <c r="C216" s="234"/>
      <c r="D216" s="34" t="s">
        <v>2444</v>
      </c>
      <c r="E216" s="154"/>
      <c r="F216" s="127"/>
      <c r="G216" s="133"/>
      <c r="H216" s="121"/>
      <c r="I216" s="122"/>
      <c r="J216" s="121"/>
      <c r="K216" s="122"/>
      <c r="L216" s="121"/>
      <c r="M216" s="122"/>
      <c r="N216" s="121"/>
      <c r="O216" s="122"/>
      <c r="P216" s="121"/>
      <c r="Q216" s="122"/>
      <c r="R216" s="121"/>
      <c r="S216" s="122"/>
      <c r="T216" s="177"/>
      <c r="U216" s="178"/>
      <c r="V216" s="167"/>
    </row>
    <row r="217" spans="2:22" ht="23.25" customHeight="1">
      <c r="B217" s="218" t="s">
        <v>2686</v>
      </c>
      <c r="C217" s="234">
        <v>3670</v>
      </c>
      <c r="D217" s="125" t="s">
        <v>2687</v>
      </c>
      <c r="E217" s="154"/>
      <c r="F217" s="129"/>
      <c r="G217" s="133"/>
      <c r="H217" s="121">
        <v>575</v>
      </c>
      <c r="I217" s="122">
        <f>H217*F217</f>
        <v>0</v>
      </c>
      <c r="J217" s="121">
        <v>604</v>
      </c>
      <c r="K217" s="122"/>
      <c r="L217" s="121">
        <v>633</v>
      </c>
      <c r="M217" s="122"/>
      <c r="N217" s="121">
        <v>661</v>
      </c>
      <c r="O217" s="122"/>
      <c r="P217" s="121"/>
      <c r="Q217" s="122"/>
      <c r="R217" s="121"/>
      <c r="S217" s="122"/>
      <c r="T217" s="177"/>
      <c r="U217" s="178"/>
      <c r="V217" s="167">
        <v>1090</v>
      </c>
    </row>
    <row r="218" spans="2:22" ht="23.25" customHeight="1">
      <c r="B218" s="218"/>
      <c r="C218" s="234"/>
      <c r="D218" s="126" t="s">
        <v>2688</v>
      </c>
      <c r="E218" s="154"/>
      <c r="F218" s="127"/>
      <c r="G218" s="133"/>
      <c r="H218" s="121"/>
      <c r="I218" s="122"/>
      <c r="J218" s="121"/>
      <c r="K218" s="122"/>
      <c r="L218" s="121"/>
      <c r="M218" s="122"/>
      <c r="N218" s="121"/>
      <c r="O218" s="122"/>
      <c r="P218" s="121"/>
      <c r="Q218" s="122"/>
      <c r="R218" s="121"/>
      <c r="S218" s="122"/>
      <c r="T218" s="177"/>
      <c r="U218" s="178"/>
      <c r="V218" s="167"/>
    </row>
    <row r="219" spans="2:22" ht="23.25" customHeight="1">
      <c r="B219" s="218"/>
      <c r="C219" s="234"/>
      <c r="D219" s="126" t="s">
        <v>2689</v>
      </c>
      <c r="E219" s="154"/>
      <c r="F219" s="127"/>
      <c r="G219" s="133"/>
      <c r="H219" s="121"/>
      <c r="I219" s="122"/>
      <c r="J219" s="121"/>
      <c r="K219" s="122"/>
      <c r="L219" s="121"/>
      <c r="M219" s="122"/>
      <c r="N219" s="121"/>
      <c r="O219" s="122"/>
      <c r="P219" s="121"/>
      <c r="Q219" s="122"/>
      <c r="R219" s="121"/>
      <c r="S219" s="122"/>
      <c r="T219" s="177"/>
      <c r="U219" s="178"/>
      <c r="V219" s="167"/>
    </row>
    <row r="220" spans="2:22" ht="23.25" customHeight="1">
      <c r="B220" s="218"/>
      <c r="C220" s="234"/>
      <c r="D220" s="34" t="s">
        <v>2444</v>
      </c>
      <c r="E220" s="154"/>
      <c r="F220" s="127"/>
      <c r="G220" s="133"/>
      <c r="H220" s="121"/>
      <c r="I220" s="122"/>
      <c r="J220" s="121"/>
      <c r="K220" s="122"/>
      <c r="L220" s="121"/>
      <c r="M220" s="122"/>
      <c r="N220" s="121"/>
      <c r="O220" s="122"/>
      <c r="P220" s="121"/>
      <c r="Q220" s="122"/>
      <c r="R220" s="121"/>
      <c r="S220" s="122"/>
      <c r="T220" s="177"/>
      <c r="U220" s="178"/>
      <c r="V220" s="167"/>
    </row>
    <row r="221" spans="2:22" ht="23.25" customHeight="1">
      <c r="B221" s="218" t="s">
        <v>2690</v>
      </c>
      <c r="C221" s="234">
        <v>3671</v>
      </c>
      <c r="D221" s="125" t="s">
        <v>2691</v>
      </c>
      <c r="E221" s="154"/>
      <c r="F221" s="129"/>
      <c r="G221" s="133"/>
      <c r="H221" s="121">
        <v>575</v>
      </c>
      <c r="I221" s="122">
        <f>H221*F221</f>
        <v>0</v>
      </c>
      <c r="J221" s="121">
        <v>604</v>
      </c>
      <c r="K221" s="122"/>
      <c r="L221" s="121">
        <v>633</v>
      </c>
      <c r="M221" s="122"/>
      <c r="N221" s="121">
        <v>661</v>
      </c>
      <c r="O221" s="122"/>
      <c r="P221" s="121"/>
      <c r="Q221" s="122"/>
      <c r="R221" s="121"/>
      <c r="S221" s="122"/>
      <c r="T221" s="177"/>
      <c r="U221" s="178"/>
      <c r="V221" s="167">
        <v>1090</v>
      </c>
    </row>
    <row r="222" spans="2:22" ht="23.25" customHeight="1">
      <c r="B222" s="218"/>
      <c r="C222" s="234"/>
      <c r="D222" s="126" t="s">
        <v>2692</v>
      </c>
      <c r="E222" s="154"/>
      <c r="F222" s="127"/>
      <c r="G222" s="133"/>
      <c r="H222" s="121"/>
      <c r="I222" s="122"/>
      <c r="J222" s="121"/>
      <c r="K222" s="122"/>
      <c r="L222" s="121"/>
      <c r="M222" s="122"/>
      <c r="N222" s="121"/>
      <c r="O222" s="122"/>
      <c r="P222" s="121"/>
      <c r="Q222" s="122"/>
      <c r="R222" s="121"/>
      <c r="S222" s="122"/>
      <c r="T222" s="177"/>
      <c r="U222" s="178"/>
      <c r="V222" s="167"/>
    </row>
    <row r="223" spans="2:22" ht="23.25" customHeight="1">
      <c r="B223" s="218"/>
      <c r="C223" s="234"/>
      <c r="D223" s="126" t="s">
        <v>2693</v>
      </c>
      <c r="E223" s="154"/>
      <c r="F223" s="127"/>
      <c r="G223" s="133"/>
      <c r="H223" s="121"/>
      <c r="I223" s="122"/>
      <c r="J223" s="121"/>
      <c r="K223" s="122"/>
      <c r="L223" s="121"/>
      <c r="M223" s="122"/>
      <c r="N223" s="121"/>
      <c r="O223" s="122"/>
      <c r="P223" s="121"/>
      <c r="Q223" s="122"/>
      <c r="R223" s="121"/>
      <c r="S223" s="122"/>
      <c r="T223" s="177"/>
      <c r="U223" s="178"/>
      <c r="V223" s="167"/>
    </row>
    <row r="224" spans="2:22" ht="23.25" customHeight="1">
      <c r="B224" s="218"/>
      <c r="C224" s="234"/>
      <c r="D224" s="34" t="s">
        <v>2444</v>
      </c>
      <c r="E224" s="154"/>
      <c r="F224" s="127"/>
      <c r="G224" s="133"/>
      <c r="H224" s="121"/>
      <c r="I224" s="122"/>
      <c r="J224" s="121"/>
      <c r="K224" s="122"/>
      <c r="L224" s="121"/>
      <c r="M224" s="122"/>
      <c r="N224" s="121"/>
      <c r="O224" s="122"/>
      <c r="P224" s="121"/>
      <c r="Q224" s="122"/>
      <c r="R224" s="121"/>
      <c r="S224" s="122"/>
      <c r="T224" s="177"/>
      <c r="U224" s="178"/>
      <c r="V224" s="167"/>
    </row>
    <row r="225" spans="1:22" ht="23.25" customHeight="1">
      <c r="B225" s="218" t="s">
        <v>2694</v>
      </c>
      <c r="C225" s="234">
        <v>4587</v>
      </c>
      <c r="D225" s="125" t="s">
        <v>2695</v>
      </c>
      <c r="E225" s="153"/>
      <c r="F225" s="129"/>
      <c r="G225" s="133"/>
      <c r="H225" s="121">
        <v>575</v>
      </c>
      <c r="I225" s="122">
        <f>H225*F225</f>
        <v>0</v>
      </c>
      <c r="J225" s="121">
        <v>604</v>
      </c>
      <c r="K225" s="122"/>
      <c r="L225" s="121">
        <v>633</v>
      </c>
      <c r="M225" s="122"/>
      <c r="N225" s="121">
        <v>661</v>
      </c>
      <c r="O225" s="122"/>
      <c r="P225" s="121"/>
      <c r="Q225" s="122"/>
      <c r="R225" s="121"/>
      <c r="S225" s="122"/>
      <c r="T225" s="177"/>
      <c r="U225" s="178"/>
      <c r="V225" s="167">
        <v>1090</v>
      </c>
    </row>
    <row r="226" spans="1:22" ht="23.25" customHeight="1">
      <c r="B226" s="218"/>
      <c r="C226" s="234"/>
      <c r="D226" s="126" t="s">
        <v>2696</v>
      </c>
      <c r="E226" s="154"/>
      <c r="F226" s="127"/>
      <c r="G226" s="133"/>
      <c r="H226" s="121"/>
      <c r="I226" s="122"/>
      <c r="J226" s="121"/>
      <c r="K226" s="122"/>
      <c r="L226" s="121"/>
      <c r="M226" s="122"/>
      <c r="N226" s="121"/>
      <c r="O226" s="122"/>
      <c r="P226" s="121"/>
      <c r="Q226" s="122"/>
      <c r="R226" s="121"/>
      <c r="S226" s="122"/>
      <c r="T226" s="177"/>
      <c r="U226" s="178"/>
      <c r="V226" s="167"/>
    </row>
    <row r="227" spans="1:22" ht="23.25" customHeight="1">
      <c r="B227" s="218"/>
      <c r="C227" s="234"/>
      <c r="D227" s="126" t="s">
        <v>2697</v>
      </c>
      <c r="E227" s="154"/>
      <c r="F227" s="127"/>
      <c r="G227" s="133"/>
      <c r="H227" s="121"/>
      <c r="I227" s="122"/>
      <c r="J227" s="121"/>
      <c r="K227" s="122"/>
      <c r="L227" s="121"/>
      <c r="M227" s="122"/>
      <c r="N227" s="121"/>
      <c r="O227" s="122"/>
      <c r="P227" s="121"/>
      <c r="Q227" s="122"/>
      <c r="R227" s="121"/>
      <c r="S227" s="122"/>
      <c r="T227" s="177"/>
      <c r="U227" s="178"/>
      <c r="V227" s="167"/>
    </row>
    <row r="228" spans="1:22" ht="21.75" customHeight="1">
      <c r="B228" s="218"/>
      <c r="C228" s="234"/>
      <c r="D228" s="34" t="s">
        <v>2444</v>
      </c>
      <c r="E228" s="154"/>
      <c r="F228" s="127"/>
      <c r="G228" s="133"/>
      <c r="H228" s="121"/>
      <c r="I228" s="122"/>
      <c r="J228" s="121"/>
      <c r="K228" s="122"/>
      <c r="L228" s="121"/>
      <c r="M228" s="122"/>
      <c r="N228" s="121"/>
      <c r="O228" s="122"/>
      <c r="P228" s="121"/>
      <c r="Q228" s="122"/>
      <c r="R228" s="121"/>
      <c r="S228" s="122"/>
      <c r="T228" s="177"/>
      <c r="U228" s="178"/>
      <c r="V228" s="167"/>
    </row>
    <row r="229" spans="1:22" s="735" customFormat="1" ht="23.25" hidden="1" customHeight="1">
      <c r="A229" s="907"/>
      <c r="B229" s="908" t="s">
        <v>2694</v>
      </c>
      <c r="C229" s="909">
        <v>3673</v>
      </c>
      <c r="D229" s="910" t="s">
        <v>2698</v>
      </c>
      <c r="E229" s="911"/>
      <c r="F229" s="912"/>
      <c r="G229" s="729"/>
      <c r="H229" s="913">
        <v>575</v>
      </c>
      <c r="I229" s="741">
        <f>H229*F229</f>
        <v>0</v>
      </c>
      <c r="J229" s="913">
        <v>604</v>
      </c>
      <c r="K229" s="741"/>
      <c r="L229" s="913">
        <v>633</v>
      </c>
      <c r="M229" s="741"/>
      <c r="N229" s="913">
        <v>661</v>
      </c>
      <c r="O229" s="741"/>
      <c r="P229" s="913"/>
      <c r="Q229" s="741"/>
      <c r="R229" s="913"/>
      <c r="S229" s="741"/>
      <c r="T229" s="914"/>
      <c r="U229" s="915"/>
      <c r="V229" s="730">
        <v>1090</v>
      </c>
    </row>
    <row r="230" spans="1:22" s="735" customFormat="1" ht="23.25" hidden="1" customHeight="1">
      <c r="A230" s="907"/>
      <c r="B230" s="908"/>
      <c r="C230" s="909"/>
      <c r="D230" s="916" t="s">
        <v>2696</v>
      </c>
      <c r="E230" s="911"/>
      <c r="F230" s="729"/>
      <c r="G230" s="729"/>
      <c r="H230" s="913"/>
      <c r="I230" s="741"/>
      <c r="J230" s="913"/>
      <c r="K230" s="741"/>
      <c r="L230" s="913"/>
      <c r="M230" s="741"/>
      <c r="N230" s="913"/>
      <c r="O230" s="741"/>
      <c r="P230" s="913"/>
      <c r="Q230" s="741"/>
      <c r="R230" s="913"/>
      <c r="S230" s="741"/>
      <c r="T230" s="914"/>
      <c r="U230" s="915"/>
      <c r="V230" s="730"/>
    </row>
    <row r="231" spans="1:22" s="735" customFormat="1" ht="23.25" hidden="1" customHeight="1">
      <c r="A231" s="907"/>
      <c r="B231" s="908"/>
      <c r="C231" s="909"/>
      <c r="D231" s="916" t="s">
        <v>2681</v>
      </c>
      <c r="E231" s="911"/>
      <c r="F231" s="729"/>
      <c r="G231" s="729"/>
      <c r="H231" s="913"/>
      <c r="I231" s="741"/>
      <c r="J231" s="913"/>
      <c r="K231" s="741"/>
      <c r="L231" s="913"/>
      <c r="M231" s="741"/>
      <c r="N231" s="913"/>
      <c r="O231" s="741"/>
      <c r="P231" s="913"/>
      <c r="Q231" s="741"/>
      <c r="R231" s="913"/>
      <c r="S231" s="741"/>
      <c r="T231" s="914"/>
      <c r="U231" s="915"/>
      <c r="V231" s="730"/>
    </row>
    <row r="232" spans="1:22" s="735" customFormat="1" ht="23.25" hidden="1" customHeight="1">
      <c r="A232" s="907"/>
      <c r="B232" s="908"/>
      <c r="C232" s="909"/>
      <c r="D232" s="917" t="s">
        <v>2444</v>
      </c>
      <c r="E232" s="918"/>
      <c r="F232" s="919"/>
      <c r="G232" s="919"/>
      <c r="H232" s="920"/>
      <c r="I232" s="921"/>
      <c r="J232" s="920"/>
      <c r="K232" s="921"/>
      <c r="L232" s="920"/>
      <c r="M232" s="921"/>
      <c r="N232" s="920"/>
      <c r="O232" s="921"/>
      <c r="P232" s="913"/>
      <c r="Q232" s="741"/>
      <c r="R232" s="913"/>
      <c r="S232" s="741"/>
      <c r="T232" s="914"/>
      <c r="U232" s="915"/>
      <c r="V232" s="730"/>
    </row>
    <row r="233" spans="1:22" s="735" customFormat="1" ht="30.75" hidden="1" customHeight="1">
      <c r="A233" s="907"/>
      <c r="B233" s="908" t="s">
        <v>2699</v>
      </c>
      <c r="C233" s="922">
        <v>1608</v>
      </c>
      <c r="D233" s="923" t="s">
        <v>2700</v>
      </c>
      <c r="E233" s="924"/>
      <c r="F233" s="728"/>
      <c r="G233" s="731"/>
      <c r="H233" s="913">
        <v>350</v>
      </c>
      <c r="I233" s="741">
        <f>F233*H233</f>
        <v>0</v>
      </c>
      <c r="J233" s="913">
        <v>368</v>
      </c>
      <c r="K233" s="741">
        <f>F233*J233</f>
        <v>0</v>
      </c>
      <c r="L233" s="913">
        <v>385</v>
      </c>
      <c r="M233" s="741">
        <f>F233*L233</f>
        <v>0</v>
      </c>
      <c r="N233" s="913">
        <v>403</v>
      </c>
      <c r="O233" s="741">
        <f>F233*N233</f>
        <v>0</v>
      </c>
      <c r="P233" s="925"/>
      <c r="Q233" s="741"/>
      <c r="R233" s="925"/>
      <c r="S233" s="741"/>
      <c r="T233" s="914"/>
      <c r="U233" s="915"/>
      <c r="V233" s="730">
        <v>665</v>
      </c>
    </row>
    <row r="234" spans="1:22" s="735" customFormat="1" ht="23.25" hidden="1" customHeight="1">
      <c r="A234" s="907"/>
      <c r="B234" s="908"/>
      <c r="C234" s="922"/>
      <c r="D234" s="738" t="s">
        <v>1343</v>
      </c>
      <c r="E234" s="926"/>
      <c r="F234" s="729"/>
      <c r="G234" s="729"/>
      <c r="H234" s="913"/>
      <c r="I234" s="741"/>
      <c r="J234" s="742"/>
      <c r="K234" s="743"/>
      <c r="L234" s="742"/>
      <c r="M234" s="743"/>
      <c r="N234" s="742"/>
      <c r="O234" s="743"/>
      <c r="P234" s="742"/>
      <c r="Q234" s="743"/>
      <c r="R234" s="742"/>
      <c r="S234" s="743"/>
      <c r="T234" s="749"/>
      <c r="U234" s="745"/>
      <c r="V234" s="530"/>
    </row>
    <row r="235" spans="1:22" s="735" customFormat="1" ht="23.25" hidden="1" customHeight="1">
      <c r="A235" s="907"/>
      <c r="B235" s="908"/>
      <c r="C235" s="922"/>
      <c r="D235" s="927" t="s">
        <v>1364</v>
      </c>
      <c r="E235" s="926"/>
      <c r="F235" s="729"/>
      <c r="G235" s="729"/>
      <c r="H235" s="913"/>
      <c r="I235" s="741"/>
      <c r="J235" s="742"/>
      <c r="K235" s="743"/>
      <c r="L235" s="742"/>
      <c r="M235" s="743"/>
      <c r="N235" s="742"/>
      <c r="O235" s="743"/>
      <c r="P235" s="742"/>
      <c r="Q235" s="743"/>
      <c r="R235" s="742"/>
      <c r="S235" s="743"/>
      <c r="T235" s="749"/>
      <c r="U235" s="745"/>
      <c r="V235" s="530"/>
    </row>
    <row r="236" spans="1:22" s="735" customFormat="1" ht="23.25" hidden="1" customHeight="1">
      <c r="A236" s="907"/>
      <c r="B236" s="908"/>
      <c r="C236" s="922"/>
      <c r="D236" s="927" t="s">
        <v>2701</v>
      </c>
      <c r="E236" s="926"/>
      <c r="F236" s="729"/>
      <c r="G236" s="729"/>
      <c r="H236" s="913"/>
      <c r="I236" s="741"/>
      <c r="J236" s="742"/>
      <c r="K236" s="743"/>
      <c r="L236" s="742"/>
      <c r="M236" s="743"/>
      <c r="N236" s="742"/>
      <c r="O236" s="743"/>
      <c r="P236" s="742"/>
      <c r="Q236" s="743"/>
      <c r="R236" s="742"/>
      <c r="S236" s="743"/>
      <c r="T236" s="749"/>
      <c r="U236" s="745"/>
      <c r="V236" s="530"/>
    </row>
    <row r="237" spans="1:22" s="735" customFormat="1" ht="27.75" hidden="1" customHeight="1">
      <c r="A237" s="907"/>
      <c r="B237" s="908" t="s">
        <v>2702</v>
      </c>
      <c r="C237" s="928">
        <v>1610</v>
      </c>
      <c r="D237" s="726" t="s">
        <v>2703</v>
      </c>
      <c r="E237" s="727"/>
      <c r="F237" s="728"/>
      <c r="G237" s="729"/>
      <c r="H237" s="730">
        <v>350</v>
      </c>
      <c r="I237" s="741">
        <f>F237*H237</f>
        <v>0</v>
      </c>
      <c r="J237" s="913">
        <v>368</v>
      </c>
      <c r="K237" s="741">
        <f>F237*J237</f>
        <v>0</v>
      </c>
      <c r="L237" s="913">
        <v>385</v>
      </c>
      <c r="M237" s="741">
        <f>L237*F237</f>
        <v>0</v>
      </c>
      <c r="N237" s="913">
        <v>403</v>
      </c>
      <c r="O237" s="741">
        <f>F237*N237</f>
        <v>0</v>
      </c>
      <c r="P237" s="925"/>
      <c r="Q237" s="741"/>
      <c r="R237" s="925"/>
      <c r="S237" s="741"/>
      <c r="T237" s="914"/>
      <c r="U237" s="915"/>
      <c r="V237" s="730">
        <v>665</v>
      </c>
    </row>
    <row r="238" spans="1:22" s="735" customFormat="1" ht="21" hidden="1" customHeight="1">
      <c r="A238" s="907"/>
      <c r="B238" s="908"/>
      <c r="C238" s="928"/>
      <c r="D238" s="738" t="s">
        <v>1353</v>
      </c>
      <c r="E238" s="926"/>
      <c r="F238" s="729"/>
      <c r="G238" s="729"/>
      <c r="H238" s="913"/>
      <c r="I238" s="741"/>
      <c r="J238" s="742"/>
      <c r="K238" s="743"/>
      <c r="L238" s="742"/>
      <c r="M238" s="743"/>
      <c r="N238" s="742"/>
      <c r="O238" s="743"/>
      <c r="P238" s="742"/>
      <c r="Q238" s="743"/>
      <c r="R238" s="742"/>
      <c r="S238" s="743"/>
      <c r="T238" s="749"/>
      <c r="U238" s="745"/>
      <c r="V238" s="530"/>
    </row>
    <row r="239" spans="1:22" s="735" customFormat="1" ht="21" hidden="1" customHeight="1">
      <c r="A239" s="907"/>
      <c r="B239" s="908"/>
      <c r="C239" s="928"/>
      <c r="D239" s="927" t="s">
        <v>1370</v>
      </c>
      <c r="E239" s="926"/>
      <c r="F239" s="729"/>
      <c r="G239" s="729"/>
      <c r="H239" s="913"/>
      <c r="I239" s="741"/>
      <c r="J239" s="742"/>
      <c r="K239" s="743"/>
      <c r="L239" s="742"/>
      <c r="M239" s="743"/>
      <c r="N239" s="742"/>
      <c r="O239" s="743"/>
      <c r="P239" s="742"/>
      <c r="Q239" s="743"/>
      <c r="R239" s="742"/>
      <c r="S239" s="743"/>
      <c r="T239" s="749"/>
      <c r="U239" s="745"/>
      <c r="V239" s="530"/>
    </row>
    <row r="240" spans="1:22" s="735" customFormat="1" ht="21" hidden="1" customHeight="1">
      <c r="A240" s="907"/>
      <c r="B240" s="908"/>
      <c r="C240" s="928"/>
      <c r="D240" s="917" t="s">
        <v>2701</v>
      </c>
      <c r="E240" s="926"/>
      <c r="F240" s="729"/>
      <c r="G240" s="729"/>
      <c r="H240" s="913"/>
      <c r="I240" s="741"/>
      <c r="J240" s="742"/>
      <c r="K240" s="743"/>
      <c r="L240" s="742"/>
      <c r="M240" s="743"/>
      <c r="N240" s="742"/>
      <c r="O240" s="743"/>
      <c r="P240" s="742"/>
      <c r="Q240" s="743"/>
      <c r="R240" s="742"/>
      <c r="S240" s="743"/>
      <c r="T240" s="749"/>
      <c r="U240" s="745"/>
      <c r="V240" s="530"/>
    </row>
    <row r="241" spans="1:22" s="735" customFormat="1" ht="30.75" hidden="1" customHeight="1">
      <c r="A241" s="907"/>
      <c r="B241" s="908" t="s">
        <v>2704</v>
      </c>
      <c r="C241" s="928">
        <v>1605</v>
      </c>
      <c r="D241" s="726" t="s">
        <v>2705</v>
      </c>
      <c r="E241" s="727"/>
      <c r="F241" s="728"/>
      <c r="G241" s="729"/>
      <c r="H241" s="730">
        <v>350</v>
      </c>
      <c r="I241" s="741">
        <f>F241*H241</f>
        <v>0</v>
      </c>
      <c r="J241" s="913">
        <v>368</v>
      </c>
      <c r="K241" s="741">
        <f>F241*J241</f>
        <v>0</v>
      </c>
      <c r="L241" s="913">
        <v>385</v>
      </c>
      <c r="M241" s="741">
        <f>F241*L241</f>
        <v>0</v>
      </c>
      <c r="N241" s="913">
        <v>403</v>
      </c>
      <c r="O241" s="741">
        <f>N241*F241</f>
        <v>0</v>
      </c>
      <c r="P241" s="925"/>
      <c r="Q241" s="741"/>
      <c r="R241" s="925"/>
      <c r="S241" s="741"/>
      <c r="T241" s="914"/>
      <c r="U241" s="915"/>
      <c r="V241" s="730">
        <v>665</v>
      </c>
    </row>
    <row r="242" spans="1:22" s="735" customFormat="1" ht="19.5" hidden="1" customHeight="1">
      <c r="A242" s="907"/>
      <c r="B242" s="908"/>
      <c r="C242" s="928"/>
      <c r="D242" s="738" t="s">
        <v>1359</v>
      </c>
      <c r="E242" s="926"/>
      <c r="F242" s="729"/>
      <c r="G242" s="729"/>
      <c r="H242" s="913"/>
      <c r="I242" s="741"/>
      <c r="J242" s="742"/>
      <c r="K242" s="743"/>
      <c r="L242" s="742"/>
      <c r="M242" s="743"/>
      <c r="N242" s="742"/>
      <c r="O242" s="743"/>
      <c r="P242" s="742"/>
      <c r="Q242" s="743"/>
      <c r="R242" s="742"/>
      <c r="S242" s="743"/>
      <c r="T242" s="749"/>
      <c r="U242" s="745"/>
      <c r="V242" s="530"/>
    </row>
    <row r="243" spans="1:22" s="735" customFormat="1" ht="19.5" hidden="1" customHeight="1">
      <c r="A243" s="907"/>
      <c r="B243" s="908"/>
      <c r="C243" s="928"/>
      <c r="D243" s="927" t="s">
        <v>1376</v>
      </c>
      <c r="E243" s="926"/>
      <c r="F243" s="729"/>
      <c r="G243" s="729"/>
      <c r="H243" s="913"/>
      <c r="I243" s="741"/>
      <c r="J243" s="742"/>
      <c r="K243" s="743"/>
      <c r="L243" s="742"/>
      <c r="M243" s="743"/>
      <c r="N243" s="742"/>
      <c r="O243" s="743"/>
      <c r="P243" s="742"/>
      <c r="Q243" s="743"/>
      <c r="R243" s="742"/>
      <c r="S243" s="743"/>
      <c r="T243" s="749"/>
      <c r="U243" s="745"/>
      <c r="V243" s="530"/>
    </row>
    <row r="244" spans="1:22" s="735" customFormat="1" ht="19.5" hidden="1" customHeight="1">
      <c r="A244" s="907"/>
      <c r="B244" s="908"/>
      <c r="C244" s="928"/>
      <c r="D244" s="738" t="s">
        <v>2701</v>
      </c>
      <c r="E244" s="929"/>
      <c r="F244" s="729"/>
      <c r="G244" s="729"/>
      <c r="H244" s="730"/>
      <c r="I244" s="741"/>
      <c r="J244" s="742"/>
      <c r="K244" s="743"/>
      <c r="L244" s="742"/>
      <c r="M244" s="743"/>
      <c r="N244" s="742"/>
      <c r="O244" s="743"/>
      <c r="P244" s="742"/>
      <c r="Q244" s="743"/>
      <c r="R244" s="742"/>
      <c r="S244" s="743"/>
      <c r="T244" s="749"/>
      <c r="U244" s="745"/>
      <c r="V244" s="530"/>
    </row>
    <row r="245" spans="1:22" s="735" customFormat="1" ht="26.25" hidden="1" customHeight="1">
      <c r="A245" s="907"/>
      <c r="B245" s="908" t="s">
        <v>2706</v>
      </c>
      <c r="C245" s="930">
        <v>2583</v>
      </c>
      <c r="D245" s="931" t="s">
        <v>2707</v>
      </c>
      <c r="E245" s="932"/>
      <c r="F245" s="933"/>
      <c r="G245" s="934"/>
      <c r="H245" s="913">
        <v>810</v>
      </c>
      <c r="I245" s="740">
        <f>F245*H245</f>
        <v>0</v>
      </c>
      <c r="J245" s="913">
        <v>851</v>
      </c>
      <c r="K245" s="740">
        <f>F245*J245</f>
        <v>0</v>
      </c>
      <c r="L245" s="913">
        <v>891</v>
      </c>
      <c r="M245" s="740">
        <f>F245*L245</f>
        <v>0</v>
      </c>
      <c r="N245" s="913">
        <v>932</v>
      </c>
      <c r="O245" s="740">
        <f>F245*N245</f>
        <v>0</v>
      </c>
      <c r="P245" s="742"/>
      <c r="Q245" s="743"/>
      <c r="R245" s="742"/>
      <c r="S245" s="743"/>
      <c r="T245" s="749"/>
      <c r="U245" s="745"/>
      <c r="V245" s="530">
        <v>1535</v>
      </c>
    </row>
    <row r="246" spans="1:22" s="735" customFormat="1" ht="21" hidden="1" customHeight="1">
      <c r="A246" s="907"/>
      <c r="B246" s="908"/>
      <c r="C246" s="935"/>
      <c r="D246" s="738" t="s">
        <v>1353</v>
      </c>
      <c r="E246" s="936"/>
      <c r="F246" s="730"/>
      <c r="G246" s="934"/>
      <c r="H246" s="730"/>
      <c r="I246" s="741"/>
      <c r="J246" s="742"/>
      <c r="K246" s="743"/>
      <c r="L246" s="742"/>
      <c r="M246" s="743"/>
      <c r="N246" s="742"/>
      <c r="O246" s="740"/>
      <c r="P246" s="742"/>
      <c r="Q246" s="743"/>
      <c r="R246" s="742"/>
      <c r="S246" s="743"/>
      <c r="T246" s="749"/>
      <c r="U246" s="745"/>
      <c r="V246" s="530"/>
    </row>
    <row r="247" spans="1:22" s="735" customFormat="1" ht="21" hidden="1" customHeight="1">
      <c r="A247" s="907"/>
      <c r="B247" s="908"/>
      <c r="C247" s="935"/>
      <c r="D247" s="738" t="s">
        <v>2580</v>
      </c>
      <c r="E247" s="936"/>
      <c r="F247" s="730"/>
      <c r="G247" s="934"/>
      <c r="H247" s="937"/>
      <c r="I247" s="741"/>
      <c r="J247" s="742"/>
      <c r="K247" s="743"/>
      <c r="L247" s="742"/>
      <c r="M247" s="743"/>
      <c r="N247" s="742"/>
      <c r="O247" s="740"/>
      <c r="P247" s="742"/>
      <c r="Q247" s="743"/>
      <c r="R247" s="742"/>
      <c r="S247" s="743"/>
      <c r="T247" s="749"/>
      <c r="U247" s="745"/>
      <c r="V247" s="530"/>
    </row>
    <row r="248" spans="1:22" s="735" customFormat="1" ht="21" hidden="1" customHeight="1">
      <c r="A248" s="907"/>
      <c r="B248" s="908"/>
      <c r="C248" s="935"/>
      <c r="D248" s="738" t="s">
        <v>2581</v>
      </c>
      <c r="E248" s="936"/>
      <c r="F248" s="730"/>
      <c r="G248" s="934"/>
      <c r="H248" s="937"/>
      <c r="I248" s="741"/>
      <c r="J248" s="742"/>
      <c r="K248" s="743"/>
      <c r="L248" s="742"/>
      <c r="M248" s="743"/>
      <c r="N248" s="742"/>
      <c r="O248" s="740"/>
      <c r="P248" s="742"/>
      <c r="Q248" s="743"/>
      <c r="R248" s="742"/>
      <c r="S248" s="743"/>
      <c r="T248" s="749"/>
      <c r="U248" s="745"/>
      <c r="V248" s="530"/>
    </row>
    <row r="249" spans="1:22" s="735" customFormat="1" ht="21" hidden="1" customHeight="1">
      <c r="A249" s="907"/>
      <c r="B249" s="908"/>
      <c r="C249" s="935"/>
      <c r="D249" s="738" t="s">
        <v>2577</v>
      </c>
      <c r="E249" s="936"/>
      <c r="F249" s="730"/>
      <c r="G249" s="934"/>
      <c r="H249" s="937"/>
      <c r="I249" s="741"/>
      <c r="J249" s="742"/>
      <c r="K249" s="743"/>
      <c r="L249" s="742"/>
      <c r="M249" s="743"/>
      <c r="N249" s="742"/>
      <c r="O249" s="740"/>
      <c r="P249" s="742"/>
      <c r="Q249" s="743"/>
      <c r="R249" s="742"/>
      <c r="S249" s="743"/>
      <c r="T249" s="749"/>
      <c r="U249" s="745"/>
      <c r="V249" s="530"/>
    </row>
    <row r="250" spans="1:22" s="735" customFormat="1" ht="21" hidden="1" customHeight="1">
      <c r="A250" s="907"/>
      <c r="B250" s="908"/>
      <c r="C250" s="935"/>
      <c r="D250" s="738" t="s">
        <v>2708</v>
      </c>
      <c r="E250" s="936"/>
      <c r="F250" s="730"/>
      <c r="G250" s="934"/>
      <c r="H250" s="937"/>
      <c r="I250" s="741"/>
      <c r="J250" s="742"/>
      <c r="K250" s="743"/>
      <c r="L250" s="742"/>
      <c r="M250" s="743"/>
      <c r="N250" s="742"/>
      <c r="O250" s="740"/>
      <c r="P250" s="742"/>
      <c r="Q250" s="743"/>
      <c r="R250" s="742"/>
      <c r="S250" s="743"/>
      <c r="T250" s="749"/>
      <c r="U250" s="745"/>
      <c r="V250" s="530"/>
    </row>
    <row r="251" spans="1:22" s="735" customFormat="1" ht="28.5" hidden="1" customHeight="1">
      <c r="A251" s="907"/>
      <c r="B251" s="908" t="s">
        <v>2709</v>
      </c>
      <c r="C251" s="909">
        <v>3681</v>
      </c>
      <c r="D251" s="910" t="s">
        <v>2710</v>
      </c>
      <c r="E251" s="911"/>
      <c r="F251" s="912"/>
      <c r="G251" s="729"/>
      <c r="H251" s="913">
        <v>1075</v>
      </c>
      <c r="I251" s="741">
        <f>H251*F251</f>
        <v>0</v>
      </c>
      <c r="J251" s="913">
        <v>1129</v>
      </c>
      <c r="K251" s="741">
        <f>J251*F251</f>
        <v>0</v>
      </c>
      <c r="L251" s="913">
        <v>1183</v>
      </c>
      <c r="M251" s="741">
        <f>L251*F251</f>
        <v>0</v>
      </c>
      <c r="N251" s="913">
        <v>1236</v>
      </c>
      <c r="O251" s="741">
        <f>N251*F251</f>
        <v>0</v>
      </c>
      <c r="P251" s="913"/>
      <c r="Q251" s="741"/>
      <c r="R251" s="913"/>
      <c r="S251" s="741"/>
      <c r="T251" s="914"/>
      <c r="U251" s="915"/>
      <c r="V251" s="730">
        <v>2040</v>
      </c>
    </row>
    <row r="252" spans="1:22" s="735" customFormat="1" ht="25.5" hidden="1" customHeight="1">
      <c r="A252" s="907"/>
      <c r="B252" s="908"/>
      <c r="C252" s="909"/>
      <c r="D252" s="916" t="s">
        <v>2711</v>
      </c>
      <c r="E252" s="918"/>
      <c r="F252" s="919"/>
      <c r="G252" s="729"/>
      <c r="H252" s="913"/>
      <c r="I252" s="741"/>
      <c r="J252" s="913"/>
      <c r="K252" s="741"/>
      <c r="L252" s="913"/>
      <c r="M252" s="741"/>
      <c r="N252" s="913"/>
      <c r="O252" s="741"/>
      <c r="P252" s="913"/>
      <c r="Q252" s="741"/>
      <c r="R252" s="913"/>
      <c r="S252" s="741"/>
      <c r="T252" s="914"/>
      <c r="U252" s="915"/>
      <c r="V252" s="730"/>
    </row>
    <row r="253" spans="1:22" s="735" customFormat="1" ht="25.5" hidden="1" customHeight="1">
      <c r="A253" s="907"/>
      <c r="B253" s="908"/>
      <c r="C253" s="909"/>
      <c r="D253" s="938" t="s">
        <v>2712</v>
      </c>
      <c r="E253" s="918"/>
      <c r="F253" s="919"/>
      <c r="G253" s="729"/>
      <c r="H253" s="913"/>
      <c r="I253" s="741"/>
      <c r="J253" s="913"/>
      <c r="K253" s="741"/>
      <c r="L253" s="913"/>
      <c r="M253" s="741"/>
      <c r="N253" s="913"/>
      <c r="O253" s="741"/>
      <c r="P253" s="913"/>
      <c r="Q253" s="741"/>
      <c r="R253" s="913"/>
      <c r="S253" s="741"/>
      <c r="T253" s="914"/>
      <c r="U253" s="915"/>
      <c r="V253" s="730"/>
    </row>
    <row r="254" spans="1:22" s="735" customFormat="1" ht="25.5" hidden="1" customHeight="1">
      <c r="A254" s="907"/>
      <c r="B254" s="908"/>
      <c r="C254" s="909"/>
      <c r="D254" s="917" t="s">
        <v>2444</v>
      </c>
      <c r="E254" s="918"/>
      <c r="F254" s="919"/>
      <c r="G254" s="729"/>
      <c r="H254" s="913"/>
      <c r="I254" s="741"/>
      <c r="J254" s="913"/>
      <c r="K254" s="741"/>
      <c r="L254" s="913"/>
      <c r="M254" s="741"/>
      <c r="N254" s="913"/>
      <c r="O254" s="741"/>
      <c r="P254" s="913"/>
      <c r="Q254" s="741"/>
      <c r="R254" s="913"/>
      <c r="S254" s="741"/>
      <c r="T254" s="914"/>
      <c r="U254" s="915"/>
      <c r="V254" s="730"/>
    </row>
    <row r="255" spans="1:22" s="735" customFormat="1" ht="27.75" hidden="1" customHeight="1">
      <c r="A255" s="907"/>
      <c r="B255" s="908" t="s">
        <v>2713</v>
      </c>
      <c r="C255" s="909">
        <v>3682</v>
      </c>
      <c r="D255" s="910" t="s">
        <v>2714</v>
      </c>
      <c r="E255" s="911"/>
      <c r="F255" s="912"/>
      <c r="G255" s="729"/>
      <c r="H255" s="913">
        <v>555</v>
      </c>
      <c r="I255" s="741">
        <f>H255*F255</f>
        <v>0</v>
      </c>
      <c r="J255" s="913">
        <v>583</v>
      </c>
      <c r="K255" s="741">
        <f>J255*F255</f>
        <v>0</v>
      </c>
      <c r="L255" s="913">
        <v>611</v>
      </c>
      <c r="M255" s="741">
        <f>L255*F255</f>
        <v>0</v>
      </c>
      <c r="N255" s="913">
        <v>638</v>
      </c>
      <c r="O255" s="741">
        <f>N255*F255</f>
        <v>0</v>
      </c>
      <c r="P255" s="913"/>
      <c r="Q255" s="741"/>
      <c r="R255" s="913"/>
      <c r="S255" s="741"/>
      <c r="T255" s="914"/>
      <c r="U255" s="915"/>
      <c r="V255" s="730">
        <v>1050</v>
      </c>
    </row>
    <row r="256" spans="1:22" s="735" customFormat="1" ht="24.75" hidden="1" customHeight="1">
      <c r="A256" s="907"/>
      <c r="B256" s="908"/>
      <c r="C256" s="909"/>
      <c r="D256" s="854" t="s">
        <v>2715</v>
      </c>
      <c r="E256" s="918"/>
      <c r="F256" s="919"/>
      <c r="G256" s="729"/>
      <c r="H256" s="913"/>
      <c r="I256" s="741"/>
      <c r="J256" s="913"/>
      <c r="K256" s="741"/>
      <c r="L256" s="913"/>
      <c r="M256" s="741"/>
      <c r="N256" s="913"/>
      <c r="O256" s="741"/>
      <c r="P256" s="913"/>
      <c r="Q256" s="741"/>
      <c r="R256" s="913"/>
      <c r="S256" s="741"/>
      <c r="T256" s="914"/>
      <c r="U256" s="915"/>
      <c r="V256" s="730"/>
    </row>
    <row r="257" spans="1:22" s="735" customFormat="1" ht="24.75" hidden="1" customHeight="1">
      <c r="A257" s="907"/>
      <c r="B257" s="908"/>
      <c r="C257" s="909"/>
      <c r="D257" s="738" t="s">
        <v>575</v>
      </c>
      <c r="E257" s="918"/>
      <c r="F257" s="919"/>
      <c r="G257" s="729"/>
      <c r="H257" s="913"/>
      <c r="I257" s="741"/>
      <c r="J257" s="913"/>
      <c r="K257" s="741"/>
      <c r="L257" s="913"/>
      <c r="M257" s="741"/>
      <c r="N257" s="913"/>
      <c r="O257" s="741"/>
      <c r="P257" s="913"/>
      <c r="Q257" s="741"/>
      <c r="R257" s="913"/>
      <c r="S257" s="741"/>
      <c r="T257" s="914"/>
      <c r="U257" s="915"/>
      <c r="V257" s="730"/>
    </row>
    <row r="258" spans="1:22" s="735" customFormat="1" ht="25.5" hidden="1" customHeight="1">
      <c r="A258" s="907"/>
      <c r="B258" s="939"/>
      <c r="C258" s="940"/>
      <c r="D258" s="941" t="s">
        <v>2444</v>
      </c>
      <c r="E258" s="942"/>
      <c r="F258" s="943"/>
      <c r="G258" s="944"/>
      <c r="H258" s="945"/>
      <c r="I258" s="946"/>
      <c r="J258" s="945"/>
      <c r="K258" s="946"/>
      <c r="L258" s="945"/>
      <c r="M258" s="946"/>
      <c r="N258" s="945"/>
      <c r="O258" s="946"/>
      <c r="P258" s="945"/>
      <c r="Q258" s="946"/>
      <c r="R258" s="945"/>
      <c r="S258" s="946"/>
      <c r="T258" s="947"/>
      <c r="U258" s="948"/>
      <c r="V258" s="949"/>
    </row>
    <row r="259" spans="1:22" ht="22.5" customHeight="1">
      <c r="B259" s="218"/>
      <c r="C259" s="220"/>
      <c r="D259" s="224" t="s">
        <v>2716</v>
      </c>
      <c r="E259" s="222"/>
      <c r="F259" s="221"/>
      <c r="G259" s="222"/>
      <c r="H259" s="223"/>
      <c r="I259" s="225">
        <f>I255+I251+I245+I241+I237+I233+I229+I225+I221+I217+I213+I209+I205+I201+I197+I193+I189+I185+I173+I169+I164+I160+I156+I152+I148+I144+I140+I136+I132+I128+I124+I120+I116+I112+I57+I44+I27+I22+I15</f>
        <v>0</v>
      </c>
      <c r="J259" s="222"/>
      <c r="K259" s="220"/>
      <c r="L259" s="220"/>
      <c r="M259" s="220"/>
      <c r="N259" s="220"/>
      <c r="O259" s="220"/>
      <c r="P259" s="220"/>
      <c r="Q259" s="220"/>
      <c r="R259" s="220"/>
      <c r="S259" s="220"/>
      <c r="T259" s="220"/>
      <c r="U259" s="220"/>
      <c r="V259" s="193"/>
    </row>
  </sheetData>
  <sheetProtection selectLockedCells="1" selectUnlockedCells="1"/>
  <autoFilter ref="V13:V65" xr:uid="{00000000-0009-0000-0000-000001000000}"/>
  <mergeCells count="33">
    <mergeCell ref="L13:M13"/>
    <mergeCell ref="N13:Q13"/>
    <mergeCell ref="R13:S13"/>
    <mergeCell ref="T13:U13"/>
    <mergeCell ref="V13:V14"/>
    <mergeCell ref="A13:A14"/>
    <mergeCell ref="C13:C14"/>
    <mergeCell ref="D13:D14"/>
    <mergeCell ref="E13:E14"/>
    <mergeCell ref="F13:F14"/>
    <mergeCell ref="C11:D11"/>
    <mergeCell ref="F11:I11"/>
    <mergeCell ref="J13:K13"/>
    <mergeCell ref="G13:G14"/>
    <mergeCell ref="H13:I13"/>
    <mergeCell ref="C12:D12"/>
    <mergeCell ref="F12:I12"/>
    <mergeCell ref="A3:A12"/>
    <mergeCell ref="C3:I3"/>
    <mergeCell ref="J3:O12"/>
    <mergeCell ref="C4:I4"/>
    <mergeCell ref="C5:D5"/>
    <mergeCell ref="F5:I5"/>
    <mergeCell ref="C6:D6"/>
    <mergeCell ref="F6:I6"/>
    <mergeCell ref="C7:D7"/>
    <mergeCell ref="F7:I7"/>
    <mergeCell ref="C8:D8"/>
    <mergeCell ref="F8:I8"/>
    <mergeCell ref="C9:D9"/>
    <mergeCell ref="F9:I9"/>
    <mergeCell ref="C10:D10"/>
    <mergeCell ref="F10:I10"/>
  </mergeCells>
  <pageMargins left="0.31496062992125984" right="0.31496062992125984" top="0.35433070866141736" bottom="0.35433070866141736" header="0.51181102362204722" footer="0.51181102362204722"/>
  <pageSetup paperSize="9" scale="75" firstPageNumber="0" orientation="portrait" horizontalDpi="300" verticalDpi="300"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3:S73"/>
  <sheetViews>
    <sheetView topLeftCell="A34" zoomScale="80" zoomScaleNormal="80" workbookViewId="0">
      <selection activeCell="C48" sqref="C48"/>
    </sheetView>
  </sheetViews>
  <sheetFormatPr defaultColWidth="9" defaultRowHeight="12.75"/>
  <cols>
    <col min="1" max="1" width="19.5703125" customWidth="1"/>
    <col min="2" max="2" width="28" style="70" customWidth="1"/>
    <col min="3" max="3" width="35.28515625" customWidth="1"/>
    <col min="4" max="4" width="13.85546875" customWidth="1"/>
    <col min="5" max="5" width="42.140625" customWidth="1"/>
    <col min="6" max="7" width="9" customWidth="1"/>
    <col min="8" max="8" width="21" customWidth="1"/>
    <col min="9" max="15" width="9" customWidth="1"/>
    <col min="16" max="16" width="6.28515625" customWidth="1"/>
    <col min="17" max="19" width="9.140625" hidden="1" customWidth="1"/>
  </cols>
  <sheetData>
    <row r="3" spans="1:8">
      <c r="A3" s="71" t="s">
        <v>46</v>
      </c>
      <c r="B3" s="72" t="s">
        <v>2717</v>
      </c>
      <c r="C3" s="72" t="s">
        <v>2718</v>
      </c>
      <c r="D3" s="72" t="s">
        <v>2719</v>
      </c>
      <c r="E3" s="71"/>
      <c r="F3" s="71"/>
    </row>
    <row r="4" spans="1:8">
      <c r="A4" s="71" t="s">
        <v>2720</v>
      </c>
      <c r="B4" s="72" t="s">
        <v>2721</v>
      </c>
      <c r="C4" s="73" t="s">
        <v>2722</v>
      </c>
      <c r="D4" s="73" t="s">
        <v>2723</v>
      </c>
      <c r="E4" s="71"/>
      <c r="F4" s="71"/>
    </row>
    <row r="5" spans="1:8">
      <c r="A5" s="71" t="s">
        <v>2724</v>
      </c>
      <c r="B5" s="72" t="s">
        <v>2725</v>
      </c>
      <c r="C5" s="73" t="s">
        <v>2726</v>
      </c>
      <c r="D5" s="73" t="s">
        <v>2722</v>
      </c>
      <c r="E5" s="71"/>
      <c r="F5" s="71"/>
    </row>
    <row r="6" spans="1:8">
      <c r="A6" s="71" t="s">
        <v>2727</v>
      </c>
      <c r="B6" s="72" t="s">
        <v>2728</v>
      </c>
      <c r="C6" s="73" t="s">
        <v>2729</v>
      </c>
      <c r="D6" s="73" t="s">
        <v>2730</v>
      </c>
      <c r="E6" s="71"/>
      <c r="F6" s="71"/>
    </row>
    <row r="7" spans="1:8">
      <c r="A7" s="71" t="s">
        <v>299</v>
      </c>
      <c r="B7" s="72" t="s">
        <v>2731</v>
      </c>
      <c r="C7" s="73" t="s">
        <v>2732</v>
      </c>
      <c r="D7" s="73" t="s">
        <v>2733</v>
      </c>
      <c r="E7" s="71"/>
      <c r="F7" s="71"/>
    </row>
    <row r="8" spans="1:8">
      <c r="A8" s="71" t="s">
        <v>410</v>
      </c>
      <c r="B8" s="72" t="s">
        <v>2734</v>
      </c>
      <c r="C8" s="73" t="s">
        <v>2735</v>
      </c>
      <c r="D8" s="73" t="s">
        <v>2736</v>
      </c>
      <c r="E8" s="71"/>
      <c r="F8" s="71"/>
    </row>
    <row r="9" spans="1:8" ht="23.25" customHeight="1">
      <c r="A9" s="71" t="s">
        <v>2737</v>
      </c>
      <c r="B9" s="72" t="s">
        <v>2738</v>
      </c>
      <c r="C9" s="72"/>
      <c r="D9" s="72"/>
      <c r="E9" s="74" t="s">
        <v>2739</v>
      </c>
      <c r="F9" s="71" t="s">
        <v>2740</v>
      </c>
    </row>
    <row r="10" spans="1:8">
      <c r="A10" s="75"/>
      <c r="C10" s="70"/>
      <c r="D10" s="70"/>
      <c r="E10" s="75"/>
      <c r="F10" s="75"/>
    </row>
    <row r="11" spans="1:8">
      <c r="A11" s="75"/>
      <c r="C11" s="70"/>
      <c r="D11" s="70"/>
      <c r="E11" s="75"/>
      <c r="F11" s="75"/>
    </row>
    <row r="12" spans="1:8">
      <c r="A12" s="75"/>
      <c r="C12" s="70"/>
      <c r="D12" s="70"/>
      <c r="E12" s="75"/>
      <c r="F12" s="75"/>
    </row>
    <row r="13" spans="1:8">
      <c r="A13" s="75"/>
      <c r="C13" s="70"/>
      <c r="D13" s="70"/>
      <c r="E13" s="75"/>
      <c r="F13" s="75"/>
    </row>
    <row r="14" spans="1:8">
      <c r="A14" s="71"/>
      <c r="B14" s="76"/>
      <c r="C14" s="72"/>
      <c r="D14" s="72"/>
      <c r="E14" s="71"/>
      <c r="F14" s="71"/>
      <c r="G14" s="77"/>
    </row>
    <row r="15" spans="1:8">
      <c r="A15" s="78" t="s">
        <v>2741</v>
      </c>
      <c r="B15" s="79" t="s">
        <v>2742</v>
      </c>
      <c r="C15" s="78" t="s">
        <v>680</v>
      </c>
      <c r="D15" s="79" t="s">
        <v>2743</v>
      </c>
      <c r="E15" s="78" t="s">
        <v>2744</v>
      </c>
      <c r="F15" s="79" t="s">
        <v>2745</v>
      </c>
      <c r="G15" s="77"/>
    </row>
    <row r="16" spans="1:8">
      <c r="A16" s="78" t="s">
        <v>2746</v>
      </c>
      <c r="B16" s="79" t="s">
        <v>2742</v>
      </c>
      <c r="C16" s="78" t="s">
        <v>740</v>
      </c>
      <c r="D16" s="79" t="s">
        <v>2743</v>
      </c>
      <c r="E16" s="78" t="s">
        <v>2747</v>
      </c>
      <c r="F16" s="79" t="s">
        <v>2745</v>
      </c>
      <c r="G16" s="77"/>
      <c r="H16" s="80" t="s">
        <v>2748</v>
      </c>
    </row>
    <row r="17" spans="1:8">
      <c r="A17" s="81" t="s">
        <v>2749</v>
      </c>
      <c r="B17" s="79" t="s">
        <v>2742</v>
      </c>
      <c r="C17" s="81" t="s">
        <v>945</v>
      </c>
      <c r="D17" s="79" t="s">
        <v>2743</v>
      </c>
      <c r="E17" s="81" t="s">
        <v>2750</v>
      </c>
      <c r="F17" s="79" t="s">
        <v>2745</v>
      </c>
      <c r="G17" s="77"/>
    </row>
    <row r="18" spans="1:8">
      <c r="A18" s="71"/>
      <c r="B18" s="82"/>
      <c r="C18" s="73"/>
      <c r="D18" s="82"/>
      <c r="E18" s="71"/>
      <c r="F18" s="83"/>
      <c r="G18" s="77"/>
      <c r="H18" t="s">
        <v>2751</v>
      </c>
    </row>
    <row r="19" spans="1:8">
      <c r="A19" s="71"/>
      <c r="B19" s="82"/>
      <c r="C19" s="73"/>
      <c r="D19" s="82"/>
      <c r="E19" s="71"/>
      <c r="F19" s="83"/>
      <c r="G19" s="77"/>
    </row>
    <row r="20" spans="1:8">
      <c r="A20" s="71"/>
      <c r="B20" s="82"/>
      <c r="C20" s="84"/>
      <c r="D20" s="82"/>
      <c r="E20" s="71"/>
      <c r="F20" s="83"/>
      <c r="G20" s="77"/>
    </row>
    <row r="21" spans="1:8">
      <c r="A21" s="27" t="s">
        <v>2752</v>
      </c>
      <c r="B21" s="85" t="s">
        <v>2753</v>
      </c>
      <c r="C21" s="86" t="s">
        <v>406</v>
      </c>
      <c r="D21" s="87" t="s">
        <v>2754</v>
      </c>
      <c r="E21" s="27" t="s">
        <v>2755</v>
      </c>
      <c r="F21" s="20" t="s">
        <v>2756</v>
      </c>
      <c r="G21" s="88" t="s">
        <v>410</v>
      </c>
    </row>
    <row r="22" spans="1:8">
      <c r="A22" s="71"/>
      <c r="B22" s="76"/>
      <c r="C22" s="89"/>
      <c r="D22" s="76"/>
      <c r="E22" s="71"/>
      <c r="F22" s="83"/>
    </row>
    <row r="23" spans="1:8">
      <c r="A23" s="26" t="s">
        <v>2757</v>
      </c>
      <c r="B23" s="20" t="s">
        <v>2758</v>
      </c>
      <c r="C23" s="26" t="s">
        <v>516</v>
      </c>
      <c r="D23" s="20" t="s">
        <v>517</v>
      </c>
      <c r="E23" s="26" t="s">
        <v>2759</v>
      </c>
      <c r="F23" s="20" t="s">
        <v>2760</v>
      </c>
    </row>
    <row r="24" spans="1:8">
      <c r="A24" s="26" t="s">
        <v>2761</v>
      </c>
      <c r="B24" s="20" t="s">
        <v>2758</v>
      </c>
      <c r="C24" s="26" t="s">
        <v>760</v>
      </c>
      <c r="D24" s="20" t="s">
        <v>517</v>
      </c>
      <c r="E24" s="26" t="s">
        <v>2762</v>
      </c>
      <c r="F24" s="20" t="s">
        <v>2760</v>
      </c>
    </row>
    <row r="25" spans="1:8">
      <c r="A25" s="22" t="s">
        <v>2763</v>
      </c>
      <c r="B25" s="20" t="s">
        <v>2758</v>
      </c>
      <c r="C25" s="90" t="s">
        <v>1118</v>
      </c>
      <c r="D25" s="20" t="s">
        <v>517</v>
      </c>
      <c r="E25" s="22"/>
      <c r="F25" s="20"/>
      <c r="H25" t="s">
        <v>2764</v>
      </c>
    </row>
    <row r="26" spans="1:8">
      <c r="A26" s="22"/>
      <c r="B26" s="85"/>
      <c r="C26" s="91" t="s">
        <v>2765</v>
      </c>
      <c r="D26" s="87"/>
      <c r="E26" s="22"/>
      <c r="F26" s="20"/>
    </row>
    <row r="27" spans="1:8">
      <c r="A27" s="22"/>
      <c r="B27" s="20"/>
      <c r="C27" s="92"/>
      <c r="D27" s="20"/>
      <c r="E27" s="22"/>
      <c r="F27" s="20"/>
    </row>
    <row r="28" spans="1:8">
      <c r="A28" s="71"/>
      <c r="B28" s="76"/>
      <c r="C28" s="72"/>
      <c r="D28" s="76"/>
      <c r="E28" s="71"/>
      <c r="F28" s="71"/>
    </row>
    <row r="29" spans="1:8">
      <c r="A29" s="22" t="s">
        <v>2766</v>
      </c>
      <c r="B29" s="25" t="s">
        <v>2767</v>
      </c>
      <c r="C29" s="22" t="s">
        <v>1352</v>
      </c>
      <c r="D29" s="25" t="s">
        <v>354</v>
      </c>
      <c r="E29" s="22" t="s">
        <v>2768</v>
      </c>
      <c r="F29" s="25" t="s">
        <v>2769</v>
      </c>
    </row>
    <row r="30" spans="1:8">
      <c r="A30" s="25" t="s">
        <v>2770</v>
      </c>
      <c r="B30" s="25" t="s">
        <v>2767</v>
      </c>
      <c r="C30" s="25" t="s">
        <v>353</v>
      </c>
      <c r="D30" s="25" t="s">
        <v>354</v>
      </c>
      <c r="E30" s="25" t="s">
        <v>2771</v>
      </c>
      <c r="F30" s="25" t="s">
        <v>2769</v>
      </c>
    </row>
    <row r="31" spans="1:8">
      <c r="A31" s="25"/>
      <c r="B31" s="25"/>
      <c r="C31" s="25"/>
      <c r="D31" s="25"/>
      <c r="E31" s="25"/>
      <c r="F31" s="25"/>
    </row>
    <row r="32" spans="1:8">
      <c r="A32" s="25"/>
      <c r="B32" s="25"/>
      <c r="C32" s="25"/>
      <c r="D32" s="25"/>
      <c r="E32" s="25"/>
      <c r="F32" s="25"/>
    </row>
    <row r="33" spans="1:9">
      <c r="A33" s="71"/>
      <c r="B33" s="72"/>
      <c r="C33" s="72"/>
      <c r="D33" s="72"/>
      <c r="E33" s="71"/>
      <c r="F33" s="71"/>
      <c r="H33" t="s">
        <v>2772</v>
      </c>
      <c r="I33" t="s">
        <v>2773</v>
      </c>
    </row>
    <row r="34" spans="1:9">
      <c r="A34" s="71"/>
      <c r="B34" s="72"/>
      <c r="C34" s="72"/>
      <c r="D34" s="72"/>
      <c r="E34" s="71"/>
      <c r="F34" s="71"/>
    </row>
    <row r="35" spans="1:9">
      <c r="A35" s="71"/>
      <c r="B35" s="72"/>
      <c r="C35" s="72"/>
      <c r="D35" s="72"/>
      <c r="E35" s="71"/>
      <c r="F35" s="71"/>
    </row>
    <row r="36" spans="1:9">
      <c r="A36" s="20" t="s">
        <v>2774</v>
      </c>
      <c r="B36" s="93" t="s">
        <v>2775</v>
      </c>
      <c r="C36" s="20" t="s">
        <v>301</v>
      </c>
      <c r="D36" s="20" t="s">
        <v>922</v>
      </c>
      <c r="E36" s="20" t="s">
        <v>2776</v>
      </c>
      <c r="F36" s="20" t="s">
        <v>2777</v>
      </c>
    </row>
    <row r="37" spans="1:9">
      <c r="A37" s="25" t="s">
        <v>2778</v>
      </c>
      <c r="B37" s="94" t="s">
        <v>2775</v>
      </c>
      <c r="C37" s="25" t="s">
        <v>853</v>
      </c>
      <c r="D37" s="25" t="s">
        <v>922</v>
      </c>
      <c r="E37" s="25" t="s">
        <v>2779</v>
      </c>
      <c r="F37" s="25" t="s">
        <v>2777</v>
      </c>
    </row>
    <row r="38" spans="1:9">
      <c r="A38" s="71"/>
      <c r="B38" s="72"/>
      <c r="C38" s="72"/>
      <c r="D38" s="72"/>
      <c r="E38" s="71"/>
      <c r="F38" s="71"/>
    </row>
    <row r="39" spans="1:9">
      <c r="A39" s="71"/>
      <c r="B39" s="72"/>
      <c r="C39" s="72"/>
      <c r="D39" s="72"/>
      <c r="E39" s="71"/>
      <c r="F39" s="71"/>
    </row>
    <row r="40" spans="1:9">
      <c r="A40" s="71"/>
      <c r="B40" s="72"/>
      <c r="C40" s="72"/>
      <c r="D40" s="72"/>
      <c r="E40" s="71"/>
      <c r="F40" s="71"/>
    </row>
    <row r="41" spans="1:9">
      <c r="A41" s="75"/>
      <c r="C41" s="70"/>
      <c r="D41" s="70"/>
      <c r="E41" s="75"/>
      <c r="F41" s="75"/>
    </row>
    <row r="42" spans="1:9">
      <c r="A42" s="75"/>
      <c r="C42" s="70"/>
      <c r="D42" s="70"/>
      <c r="E42" s="75"/>
      <c r="F42" s="75"/>
      <c r="H42" t="s">
        <v>2780</v>
      </c>
    </row>
    <row r="45" spans="1:9">
      <c r="A45" s="23" t="s">
        <v>407</v>
      </c>
      <c r="B45" s="28" t="s">
        <v>2781</v>
      </c>
      <c r="C45" s="24" t="s">
        <v>319</v>
      </c>
    </row>
    <row r="49" spans="1:8" ht="20.25">
      <c r="A49" s="1110" t="s">
        <v>2782</v>
      </c>
      <c r="B49" s="1110"/>
      <c r="C49" s="1110"/>
    </row>
    <row r="50" spans="1:8" ht="20.25">
      <c r="A50" s="452"/>
      <c r="B50"/>
      <c r="C50" s="453"/>
    </row>
    <row r="51" spans="1:8" ht="37.5">
      <c r="A51" s="454" t="s">
        <v>2783</v>
      </c>
      <c r="B51" s="454" t="s">
        <v>2784</v>
      </c>
      <c r="C51" s="455" t="s">
        <v>2785</v>
      </c>
      <c r="D51" s="456"/>
    </row>
    <row r="52" spans="1:8" ht="18.75">
      <c r="A52" s="454" t="s">
        <v>2720</v>
      </c>
      <c r="B52" s="454" t="s">
        <v>2721</v>
      </c>
      <c r="C52" s="455" t="s">
        <v>2786</v>
      </c>
      <c r="D52" s="456"/>
    </row>
    <row r="53" spans="1:8" ht="18.75">
      <c r="A53" s="454" t="s">
        <v>2724</v>
      </c>
      <c r="B53" s="454" t="s">
        <v>2725</v>
      </c>
      <c r="C53" s="455" t="s">
        <v>2787</v>
      </c>
      <c r="D53" s="456"/>
    </row>
    <row r="54" spans="1:8" ht="18.75">
      <c r="A54" s="454" t="s">
        <v>2727</v>
      </c>
      <c r="B54" s="454" t="s">
        <v>2728</v>
      </c>
      <c r="C54" s="455" t="s">
        <v>2788</v>
      </c>
      <c r="D54" s="456"/>
    </row>
    <row r="55" spans="1:8" ht="18.75">
      <c r="A55" s="454" t="s">
        <v>299</v>
      </c>
      <c r="B55" s="454" t="s">
        <v>2731</v>
      </c>
      <c r="C55" s="455" t="s">
        <v>2789</v>
      </c>
      <c r="D55" s="456"/>
    </row>
    <row r="56" spans="1:8" ht="18.75">
      <c r="A56" s="454" t="s">
        <v>410</v>
      </c>
      <c r="B56" s="454" t="s">
        <v>2790</v>
      </c>
      <c r="C56" s="455" t="s">
        <v>2791</v>
      </c>
      <c r="D56" s="456"/>
    </row>
    <row r="57" spans="1:8" ht="18.75">
      <c r="A57" s="454" t="s">
        <v>2737</v>
      </c>
      <c r="B57" s="454" t="s">
        <v>2738</v>
      </c>
      <c r="C57" s="455" t="s">
        <v>2792</v>
      </c>
      <c r="D57" s="456"/>
    </row>
    <row r="58" spans="1:8" ht="18.75">
      <c r="A58" s="454" t="s">
        <v>2793</v>
      </c>
      <c r="B58" s="454" t="s">
        <v>2794</v>
      </c>
      <c r="C58" s="455"/>
      <c r="D58" s="456" t="s">
        <v>2795</v>
      </c>
    </row>
    <row r="59" spans="1:8" ht="18.75">
      <c r="A59" s="454" t="s">
        <v>366</v>
      </c>
      <c r="B59" s="454" t="s">
        <v>2796</v>
      </c>
      <c r="C59" s="455"/>
      <c r="D59" s="456" t="s">
        <v>2797</v>
      </c>
      <c r="F59">
        <v>0.2</v>
      </c>
      <c r="G59">
        <v>0.14000000000000001</v>
      </c>
      <c r="H59">
        <v>0.1</v>
      </c>
    </row>
    <row r="60" spans="1:8" ht="18.75">
      <c r="A60" s="454" t="s">
        <v>2798</v>
      </c>
      <c r="B60" s="454" t="s">
        <v>2799</v>
      </c>
      <c r="C60" s="455"/>
      <c r="D60" s="456"/>
    </row>
    <row r="61" spans="1:8" ht="18.75">
      <c r="A61" s="454" t="s">
        <v>728</v>
      </c>
      <c r="B61" s="454" t="s">
        <v>2800</v>
      </c>
      <c r="C61" s="455"/>
      <c r="D61" s="456"/>
      <c r="F61">
        <v>0.2</v>
      </c>
      <c r="G61">
        <v>0.14000000000000001</v>
      </c>
      <c r="H61">
        <v>0.15</v>
      </c>
    </row>
    <row r="62" spans="1:8" ht="20.25">
      <c r="A62" s="457"/>
      <c r="B62"/>
      <c r="C62" s="453"/>
    </row>
    <row r="63" spans="1:8" ht="20.25">
      <c r="A63" s="457" t="s">
        <v>2801</v>
      </c>
      <c r="B63"/>
      <c r="C63" s="453"/>
    </row>
    <row r="64" spans="1:8" ht="27">
      <c r="A64" s="458"/>
      <c r="B64"/>
      <c r="C64" s="453"/>
    </row>
    <row r="65" spans="1:3" ht="22.5">
      <c r="A65" s="1111" t="s">
        <v>2802</v>
      </c>
      <c r="B65" s="1111"/>
      <c r="C65" s="1111"/>
    </row>
    <row r="66" spans="1:3" ht="20.25">
      <c r="A66" s="452"/>
      <c r="B66"/>
      <c r="C66" s="453"/>
    </row>
    <row r="67" spans="1:3" ht="37.5">
      <c r="A67" s="459"/>
      <c r="B67" s="454" t="s">
        <v>2784</v>
      </c>
      <c r="C67" s="455" t="s">
        <v>2785</v>
      </c>
    </row>
    <row r="68" spans="1:3" ht="18.75">
      <c r="A68" s="454" t="s">
        <v>2803</v>
      </c>
      <c r="B68" s="454" t="s">
        <v>2804</v>
      </c>
      <c r="C68" s="455" t="s">
        <v>2805</v>
      </c>
    </row>
    <row r="69" spans="1:3" ht="18.75">
      <c r="A69" s="454" t="s">
        <v>2806</v>
      </c>
      <c r="B69" s="454" t="s">
        <v>2807</v>
      </c>
      <c r="C69" s="455" t="s">
        <v>2808</v>
      </c>
    </row>
    <row r="70" spans="1:3" ht="18.75">
      <c r="A70" s="454" t="s">
        <v>2809</v>
      </c>
      <c r="B70" s="454" t="s">
        <v>2810</v>
      </c>
      <c r="C70" s="455" t="s">
        <v>2811</v>
      </c>
    </row>
    <row r="71" spans="1:3" ht="18.75">
      <c r="A71" s="454" t="s">
        <v>2812</v>
      </c>
      <c r="B71" s="454" t="s">
        <v>2813</v>
      </c>
      <c r="C71" s="455" t="s">
        <v>2814</v>
      </c>
    </row>
    <row r="72" spans="1:3" ht="25.5">
      <c r="A72" s="460"/>
      <c r="B72"/>
      <c r="C72" s="453"/>
    </row>
    <row r="73" spans="1:3" ht="15.75">
      <c r="B73"/>
      <c r="C73" s="453"/>
    </row>
  </sheetData>
  <sheetProtection selectLockedCells="1" selectUnlockedCells="1"/>
  <mergeCells count="2">
    <mergeCell ref="A49:C49"/>
    <mergeCell ref="A65:C65"/>
  </mergeCells>
  <pageMargins left="0.7" right="0.7" top="0.75" bottom="0.75" header="0.51180555555555551" footer="0.51180555555555551"/>
  <pageSetup paperSize="9" firstPageNumber="0" orientation="portrait" horizontalDpi="300" verticalDpi="300"/>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
  <sheetViews>
    <sheetView workbookViewId="0">
      <selection activeCell="I28" sqref="I28"/>
    </sheetView>
  </sheetViews>
  <sheetFormatPr defaultRowHeight="12.7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Tom</dc:creator>
  <cp:keywords/>
  <dc:description/>
  <cp:lastModifiedBy>Федотова Альбина</cp:lastModifiedBy>
  <cp:revision/>
  <dcterms:created xsi:type="dcterms:W3CDTF">2021-03-01T09:05:22Z</dcterms:created>
  <dcterms:modified xsi:type="dcterms:W3CDTF">2024-03-13T11:15:59Z</dcterms:modified>
  <cp:category/>
  <cp:contentStatus/>
</cp:coreProperties>
</file>